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ri\OneDrive - hibernianadvisors.com\RLE Shared File\13-Implementation Plan\05 Proforma\00 CTA Submittal\02 DRAFT for CTA submission 2nd\02 Excel Version\"/>
    </mc:Choice>
  </mc:AlternateContent>
  <xr:revisionPtr revIDLastSave="0" documentId="13_ncr:1_{A2EBA7C2-FD1D-4EAE-8AF2-7A8EF8C2F08F}" xr6:coauthVersionLast="47" xr6:coauthVersionMax="47" xr10:uidLastSave="{00000000-0000-0000-0000-000000000000}"/>
  <bookViews>
    <workbookView xWindow="-28920" yWindow="-120" windowWidth="29040" windowHeight="15720" tabRatio="780" xr2:uid="{8A6F8D95-191F-4ABA-8CDC-C224521EF7A7}"/>
  </bookViews>
  <sheets>
    <sheet name="Summary" sheetId="9" r:id="rId1"/>
    <sheet name="Sources Uses" sheetId="2" r:id="rId2"/>
    <sheet name="Site Base Data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9" l="1"/>
  <c r="H65" i="9"/>
  <c r="H64" i="9"/>
  <c r="H63" i="9"/>
  <c r="H48" i="9"/>
  <c r="H47" i="9"/>
  <c r="H46" i="9"/>
  <c r="N34" i="9" l="1"/>
  <c r="N32" i="9" l="1"/>
  <c r="F26" i="8"/>
  <c r="F25" i="8"/>
  <c r="E23" i="8"/>
  <c r="E39" i="8" s="1"/>
  <c r="F17" i="8"/>
  <c r="F16" i="8" s="1"/>
  <c r="D16" i="8" s="1"/>
  <c r="E16" i="8"/>
  <c r="E15" i="8"/>
  <c r="E22" i="8" s="1"/>
  <c r="E34" i="8" s="1"/>
  <c r="F13" i="8"/>
  <c r="F22" i="8" s="1"/>
  <c r="F9" i="8"/>
  <c r="F23" i="8" l="1"/>
  <c r="F39" i="8" s="1"/>
  <c r="F34" i="8"/>
  <c r="E24" i="8"/>
  <c r="N66" i="9" l="1"/>
  <c r="N49" i="9"/>
  <c r="M47" i="9"/>
  <c r="N22" i="9"/>
  <c r="M22" i="9"/>
  <c r="G17" i="2" l="1"/>
  <c r="Y42" i="2" l="1"/>
  <c r="M48" i="9" l="1"/>
  <c r="N10" i="9" l="1"/>
  <c r="AA11" i="2" l="1"/>
  <c r="S11" i="2"/>
  <c r="M20" i="9" l="1"/>
  <c r="O24" i="2"/>
  <c r="Q24" i="2" s="1"/>
  <c r="O23" i="2"/>
  <c r="Q23" i="2" s="1"/>
  <c r="O22" i="2"/>
  <c r="Q22" i="2" s="1"/>
  <c r="U21" i="2"/>
  <c r="M65" i="9" s="1"/>
  <c r="U22" i="2"/>
  <c r="U23" i="2"/>
  <c r="U24" i="2"/>
  <c r="U20" i="2"/>
  <c r="M64" i="9" s="1"/>
  <c r="W19" i="2"/>
  <c r="O19" i="2"/>
  <c r="C4" i="2"/>
  <c r="C5" i="2"/>
  <c r="C6" i="2"/>
  <c r="I20" i="2"/>
  <c r="U41" i="2"/>
  <c r="M41" i="2"/>
  <c r="Q42" i="2"/>
  <c r="N50" i="9" l="1"/>
  <c r="N33" i="9"/>
  <c r="D6" i="9"/>
  <c r="D5" i="9"/>
  <c r="D4" i="9"/>
  <c r="M24" i="9"/>
  <c r="N24" i="9"/>
  <c r="M21" i="9"/>
  <c r="N21" i="9"/>
  <c r="M25" i="9"/>
  <c r="N13" i="9" s="1"/>
  <c r="N25" i="9"/>
  <c r="M26" i="9"/>
  <c r="N26" i="9"/>
  <c r="I42" i="2"/>
  <c r="W21" i="2"/>
  <c r="O21" i="2"/>
  <c r="Q21" i="2" s="1"/>
  <c r="D25" i="8"/>
  <c r="D33" i="8"/>
  <c r="N12" i="9" l="1"/>
  <c r="N14" i="9"/>
  <c r="G18" i="2"/>
  <c r="G21" i="2"/>
  <c r="G19" i="2"/>
  <c r="Y21" i="2"/>
  <c r="N65" i="9" s="1"/>
  <c r="N48" i="9"/>
  <c r="L48" i="9"/>
  <c r="L65" i="9"/>
  <c r="D32" i="8" l="1"/>
  <c r="D31" i="8" l="1"/>
  <c r="I21" i="2"/>
  <c r="N36" i="9" l="1"/>
  <c r="M23" i="9"/>
  <c r="M27" i="9"/>
  <c r="O20" i="2"/>
  <c r="Q20" i="2" s="1"/>
  <c r="N23" i="9"/>
  <c r="N27" i="9"/>
  <c r="W20" i="2"/>
  <c r="Y20" i="2" s="1"/>
  <c r="D22" i="8"/>
  <c r="D34" i="8" s="1"/>
  <c r="D30" i="8"/>
  <c r="D23" i="8"/>
  <c r="D39" i="8" s="1"/>
  <c r="D28" i="8"/>
  <c r="D29" i="8"/>
  <c r="N11" i="9" l="1"/>
  <c r="N15" i="9"/>
  <c r="Q25" i="2"/>
  <c r="L64" i="9"/>
  <c r="L47" i="9"/>
  <c r="N47" i="9" l="1"/>
  <c r="N64" i="9"/>
  <c r="Q27" i="2" l="1"/>
  <c r="Q34" i="2"/>
  <c r="Q31" i="2"/>
  <c r="Q30" i="2"/>
  <c r="Q28" i="2"/>
  <c r="Q32" i="2"/>
  <c r="Q29" i="2"/>
  <c r="Q33" i="2"/>
  <c r="Q35" i="2" l="1"/>
  <c r="Q36" i="2" s="1"/>
  <c r="Q41" i="2" l="1"/>
  <c r="Q43" i="2"/>
  <c r="Q40" i="2"/>
  <c r="Q44" i="2"/>
  <c r="Q39" i="2"/>
  <c r="N51" i="9"/>
  <c r="Q45" i="2" l="1"/>
  <c r="N52" i="9"/>
  <c r="Q47" i="2" l="1"/>
  <c r="N54" i="9"/>
  <c r="Q55" i="2" l="1"/>
  <c r="I48" i="9" s="1"/>
  <c r="Q54" i="2"/>
  <c r="I47" i="9" s="1"/>
  <c r="Q53" i="2"/>
  <c r="I46" i="9" s="1"/>
  <c r="N56" i="9"/>
  <c r="Q51" i="2" l="1"/>
  <c r="I49" i="9" s="1"/>
  <c r="G24" i="2" l="1"/>
  <c r="I24" i="2" s="1"/>
  <c r="F37" i="8"/>
  <c r="W24" i="2" s="1"/>
  <c r="Y24" i="2" s="1"/>
  <c r="W22" i="2"/>
  <c r="Y22" i="2" s="1"/>
  <c r="G22" i="2"/>
  <c r="I22" i="2" s="1"/>
  <c r="G23" i="2"/>
  <c r="I23" i="2" s="1"/>
  <c r="W23" i="2"/>
  <c r="Y23" i="2" s="1"/>
  <c r="Y25" i="2" l="1"/>
  <c r="Y28" i="2" s="1"/>
  <c r="I25" i="2"/>
  <c r="N67" i="9"/>
  <c r="N35" i="9"/>
  <c r="Y27" i="2" l="1"/>
  <c r="Y34" i="2"/>
  <c r="Y33" i="2"/>
  <c r="Y31" i="2"/>
  <c r="Y29" i="2"/>
  <c r="Y30" i="2"/>
  <c r="Y32" i="2"/>
  <c r="I30" i="2"/>
  <c r="I31" i="2"/>
  <c r="I34" i="2"/>
  <c r="I28" i="2"/>
  <c r="I33" i="2"/>
  <c r="I27" i="2"/>
  <c r="I32" i="2"/>
  <c r="I29" i="2"/>
  <c r="Y35" i="2" l="1"/>
  <c r="I35" i="2"/>
  <c r="N68" i="9"/>
  <c r="Y36" i="2"/>
  <c r="N37" i="9" l="1"/>
  <c r="I36" i="2"/>
  <c r="Y41" i="2"/>
  <c r="Y39" i="2"/>
  <c r="Y44" i="2"/>
  <c r="Y43" i="2"/>
  <c r="N69" i="9"/>
  <c r="Y40" i="2"/>
  <c r="Y45" i="2" l="1"/>
  <c r="I44" i="2"/>
  <c r="I43" i="2"/>
  <c r="I39" i="2"/>
  <c r="I41" i="2"/>
  <c r="I40" i="2"/>
  <c r="I45" i="2" l="1"/>
  <c r="N38" i="9" s="1"/>
  <c r="N71" i="9"/>
  <c r="Y47" i="2"/>
  <c r="I47" i="2" l="1"/>
  <c r="I54" i="2" s="1"/>
  <c r="Y54" i="2"/>
  <c r="I64" i="9" s="1"/>
  <c r="Y53" i="2"/>
  <c r="I63" i="9" s="1"/>
  <c r="N73" i="9"/>
  <c r="Y55" i="2"/>
  <c r="I65" i="9" s="1"/>
  <c r="I55" i="2" l="1"/>
  <c r="N39" i="9"/>
  <c r="I53" i="2"/>
  <c r="Y51" i="2"/>
  <c r="I66" i="9" s="1"/>
  <c r="I51" i="2" l="1"/>
</calcChain>
</file>

<file path=xl/sharedStrings.xml><?xml version="1.0" encoding="utf-8"?>
<sst xmlns="http://schemas.openxmlformats.org/spreadsheetml/2006/main" count="225" uniqueCount="153">
  <si>
    <t>SF</t>
  </si>
  <si>
    <t>Cost/SF</t>
  </si>
  <si>
    <t>Site</t>
  </si>
  <si>
    <t>USES</t>
  </si>
  <si>
    <t>Site Area (SF)</t>
  </si>
  <si>
    <t>Building Footprint SF</t>
  </si>
  <si>
    <t>Ground Floor Commercial SF</t>
  </si>
  <si>
    <t>Ground Floor NSF</t>
  </si>
  <si>
    <t>Resi Upper Floor SF</t>
  </si>
  <si>
    <t>Main Resi Floor Count</t>
  </si>
  <si>
    <t>Adtl. Resi  Floor</t>
  </si>
  <si>
    <t>Adtl. Floor Count</t>
  </si>
  <si>
    <t>Total Floors</t>
  </si>
  <si>
    <t>Building Gross SF</t>
  </si>
  <si>
    <t>Units</t>
  </si>
  <si>
    <t>Parking Need</t>
  </si>
  <si>
    <t>Parking Provided</t>
  </si>
  <si>
    <t>Total Site Parking Need</t>
  </si>
  <si>
    <t>Total GSF Commercial</t>
  </si>
  <si>
    <t>Total GSF Residential</t>
  </si>
  <si>
    <t>Total GSF Parking</t>
  </si>
  <si>
    <t>Roadway Reconstruction GSF</t>
  </si>
  <si>
    <t>TOTAL SOURCES AND USES</t>
  </si>
  <si>
    <t>Cost</t>
  </si>
  <si>
    <t>CONSTRUCTION</t>
  </si>
  <si>
    <t>ACQUISITION</t>
  </si>
  <si>
    <t>FAR</t>
  </si>
  <si>
    <t>Land Area per DU</t>
  </si>
  <si>
    <t>Street Frontage (linear ft)</t>
  </si>
  <si>
    <t>Paving /Access Drive (GSF)</t>
  </si>
  <si>
    <t>Streetscape Area (GSF)</t>
  </si>
  <si>
    <t>Total Site Units (700 SF avg.)</t>
  </si>
  <si>
    <t>Total Development GSF</t>
  </si>
  <si>
    <t>Parking SF Surface Lot</t>
  </si>
  <si>
    <t>Parking SF Structured / Enclosed</t>
  </si>
  <si>
    <t>Uses</t>
  </si>
  <si>
    <t>Parking Spaces</t>
  </si>
  <si>
    <t>Retail SF</t>
  </si>
  <si>
    <t>Catalyst Site</t>
  </si>
  <si>
    <t>Station Area</t>
  </si>
  <si>
    <t>Location</t>
  </si>
  <si>
    <t>Development SF</t>
  </si>
  <si>
    <t>Developer Equity</t>
  </si>
  <si>
    <t>Public Sources</t>
  </si>
  <si>
    <t>Residential SF</t>
  </si>
  <si>
    <t>Building Height (Floors)</t>
  </si>
  <si>
    <t>Construction Costs</t>
  </si>
  <si>
    <t>% Project Costs</t>
  </si>
  <si>
    <t xml:space="preserve">Developer Equity </t>
  </si>
  <si>
    <t>Financing</t>
  </si>
  <si>
    <t>Property Acquisition</t>
  </si>
  <si>
    <t>Environmental - Soil Remediation</t>
  </si>
  <si>
    <t>General Conditions</t>
  </si>
  <si>
    <t>Environmental</t>
  </si>
  <si>
    <t>Site SF</t>
  </si>
  <si>
    <t>Permiting &amp; Fees</t>
  </si>
  <si>
    <t>Development Fee</t>
  </si>
  <si>
    <t>Building Development</t>
  </si>
  <si>
    <t>Contractor's Contingency</t>
  </si>
  <si>
    <t>Overhead &amp; Fee</t>
  </si>
  <si>
    <t>General Liability Insurance</t>
  </si>
  <si>
    <t>Subcontractor Default Insurance</t>
  </si>
  <si>
    <t>Payment &amp; Performance Bond</t>
  </si>
  <si>
    <t>Mentor - Protégé</t>
  </si>
  <si>
    <t>Environmental - Abatement and Demolition</t>
  </si>
  <si>
    <t>PROFESSIONAL SERVICES</t>
  </si>
  <si>
    <t>Legal Fees</t>
  </si>
  <si>
    <t>Builder's Risk Insurance</t>
  </si>
  <si>
    <t xml:space="preserve"> Acquisition</t>
  </si>
  <si>
    <t>Cost/SF
Lump sum
Allowance</t>
  </si>
  <si>
    <t>Potential Public Sources</t>
  </si>
  <si>
    <t>Catalyst Site and Building</t>
  </si>
  <si>
    <t>Building A</t>
  </si>
  <si>
    <t>Building B</t>
  </si>
  <si>
    <t>Building Type</t>
  </si>
  <si>
    <t>Total Residential SF</t>
  </si>
  <si>
    <t>Streetscape Area</t>
  </si>
  <si>
    <t>Paving/Access Drive</t>
  </si>
  <si>
    <t>Roadway Reconstruction</t>
  </si>
  <si>
    <t>Costs are held in Building development budget</t>
  </si>
  <si>
    <t>Architect, Engineers, Consultants *</t>
  </si>
  <si>
    <r>
      <rPr>
        <u/>
        <sz val="11"/>
        <color theme="1"/>
        <rFont val="Arial Narrow"/>
        <family val="2"/>
      </rPr>
      <t xml:space="preserve">* A/E fee %: </t>
    </r>
    <r>
      <rPr>
        <sz val="11"/>
        <color theme="1"/>
        <rFont val="Arial Narrow"/>
        <family val="2"/>
      </rPr>
      <t xml:space="preserve">
Project Costs of $0-$5M, 12.5% 
Project Costs of $5-$10M, 10%
Project Costs of $10-$15M, 7.5%
Project Costs of $15+M, 5%</t>
    </r>
  </si>
  <si>
    <t>Evaluation, testing and oversight during remediation, ESA, Phase I, Phase II, ACM, Lead-based paint, Asbestos</t>
  </si>
  <si>
    <t>Planned Development, Land Acquisition</t>
  </si>
  <si>
    <t>Fee % based on range of total project costs</t>
  </si>
  <si>
    <t>PD, Part II</t>
  </si>
  <si>
    <t>Residential Units</t>
  </si>
  <si>
    <t>Demo &amp; Abatement Costs</t>
  </si>
  <si>
    <t>Acquisition Costs</t>
  </si>
  <si>
    <t>DEVELOPMENT PROGRAM SUMMARY</t>
  </si>
  <si>
    <t>Total Development SF</t>
  </si>
  <si>
    <t>Total Site Pre-Development Costs</t>
  </si>
  <si>
    <t>PROJECT COSTS</t>
  </si>
  <si>
    <t>SITE DEVELOPMENT COSTS</t>
  </si>
  <si>
    <t>TOTAL CONSTRUCTION COSTS</t>
  </si>
  <si>
    <t>PROFESSIONAL SERVICES &amp; FEES</t>
  </si>
  <si>
    <t>Site Development</t>
  </si>
  <si>
    <t>Public Right-of-Way</t>
  </si>
  <si>
    <t>Insurance &amp; Contingency</t>
  </si>
  <si>
    <t>Site Base Data</t>
  </si>
  <si>
    <t>Sources and Uses</t>
  </si>
  <si>
    <t>Tab Reference</t>
  </si>
  <si>
    <t>Site Utilities</t>
  </si>
  <si>
    <t xml:space="preserve"> TIF, DCEO Grants, Federal and State Brownfields grants, if applicable</t>
  </si>
  <si>
    <r>
      <t xml:space="preserve">Construction Costs, </t>
    </r>
    <r>
      <rPr>
        <b/>
        <i/>
        <sz val="11"/>
        <color theme="0"/>
        <rFont val="Arial Narrow"/>
        <family val="2"/>
      </rPr>
      <t>rounded</t>
    </r>
  </si>
  <si>
    <r>
      <t xml:space="preserve">Professional Services, </t>
    </r>
    <r>
      <rPr>
        <b/>
        <i/>
        <sz val="11"/>
        <color theme="0"/>
        <rFont val="Arial Narrow"/>
        <family val="2"/>
      </rPr>
      <t>rounded</t>
    </r>
  </si>
  <si>
    <r>
      <t xml:space="preserve">TOTAL PROJECT SOURCES, </t>
    </r>
    <r>
      <rPr>
        <b/>
        <i/>
        <sz val="12"/>
        <color theme="0"/>
        <rFont val="Arial Narrow"/>
        <family val="2"/>
      </rPr>
      <t>rounded</t>
    </r>
  </si>
  <si>
    <r>
      <t xml:space="preserve">TOTAL PROJECT COSTS, </t>
    </r>
    <r>
      <rPr>
        <b/>
        <i/>
        <sz val="12"/>
        <color theme="0"/>
        <rFont val="Arial Narrow"/>
        <family val="2"/>
      </rPr>
      <t>rounded</t>
    </r>
  </si>
  <si>
    <t>PROJECT SOURCES</t>
  </si>
  <si>
    <t>The Site Development Costs include the costs to create a Pad-Ready site for each Building opportunity within the overall property: land acquisition, demo, environmental, utilities, and related costs</t>
  </si>
  <si>
    <t>Minimal paving to create safe, secure Pad-Ready site</t>
  </si>
  <si>
    <t>Minimal roadway reconstruction to create safe, secure Pad-Ready site</t>
  </si>
  <si>
    <t>Costs are held in Site development budget</t>
  </si>
  <si>
    <t>SF or Unit</t>
  </si>
  <si>
    <r>
      <t xml:space="preserve">Sub-Total: Construction Costs, </t>
    </r>
    <r>
      <rPr>
        <b/>
        <i/>
        <sz val="11"/>
        <color rgb="FF419977"/>
        <rFont val="Arial Narrow"/>
        <family val="2"/>
      </rPr>
      <t>rounded</t>
    </r>
  </si>
  <si>
    <r>
      <t xml:space="preserve">Sub-Total: Insurance &amp; Contingency, </t>
    </r>
    <r>
      <rPr>
        <b/>
        <i/>
        <sz val="11"/>
        <color rgb="FF419977"/>
        <rFont val="Arial Narrow"/>
        <family val="2"/>
      </rPr>
      <t>rounded</t>
    </r>
  </si>
  <si>
    <t>Multi-family, 
Retail</t>
  </si>
  <si>
    <t>Professional Services</t>
  </si>
  <si>
    <t xml:space="preserve">Site Prep Construction Costs </t>
  </si>
  <si>
    <t xml:space="preserve">Low Income Housing Tax Credit (LIHTC) 9% 
Chicago Dept of Housing Home Investment Partnerships Porgram (HOME) 
Affordable Requirements Ordinance (ARO) Funds
Illiniois Affordable Housing Tax Credits (Donation Tax Credit) 
DCEO grant
HUD Mortgage Insurance-Rental Program - 221(d)(4)
TIF </t>
  </si>
  <si>
    <t>Partnerships with emerging and minority contractors</t>
  </si>
  <si>
    <t>Allowance</t>
  </si>
  <si>
    <t>Allowance for utility connections</t>
  </si>
  <si>
    <t>Minimal site development scope to create safe, secure Pad-Ready site, earth work &amp; regrading</t>
  </si>
  <si>
    <t>Allowance for utility disconnections and relocations as part of alley vacation &amp; dedication strategy</t>
  </si>
  <si>
    <t>Site Pre-Development (Pad Ready)</t>
  </si>
  <si>
    <t>Building A (Resi over Retail)</t>
  </si>
  <si>
    <t>mill overlay, restoration, curb &amp; gutter</t>
  </si>
  <si>
    <t>Allowance for disposal of spoils related to foundations if required</t>
  </si>
  <si>
    <t>Allowance for remediation of entire site (estimate pending ESAs, UST removal &amp; capping strategy RAP)</t>
  </si>
  <si>
    <t>Owner's Contingency</t>
  </si>
  <si>
    <t>Value to be determined if Master Developer sells development pad to building developer</t>
  </si>
  <si>
    <t>RED LINE EXTENSION  - IMPLEMENTATION PLAN - CATALYST SITES - DEVELOPMENT BUDGET &amp; PROFORMA</t>
  </si>
  <si>
    <t>CATALYST SITE DEVELOPMENT SUMMARY</t>
  </si>
  <si>
    <t>Development - Building A</t>
  </si>
  <si>
    <t>Development - Building B</t>
  </si>
  <si>
    <t>Environmental &amp; Utilities</t>
  </si>
  <si>
    <t>103rd</t>
  </si>
  <si>
    <t>103rd &amp; Harvard</t>
  </si>
  <si>
    <t>MU4</t>
  </si>
  <si>
    <t>Townhouses</t>
  </si>
  <si>
    <t>Environmental Remediation &amp; Utility Costs</t>
  </si>
  <si>
    <t>Public Right-of-Way Costs</t>
  </si>
  <si>
    <t>Building B (Townhomes)</t>
  </si>
  <si>
    <t>Project Total Costs</t>
  </si>
  <si>
    <t>Total Project Sources</t>
  </si>
  <si>
    <t>Site Development (excluding building footprint)</t>
  </si>
  <si>
    <t>TBD</t>
  </si>
  <si>
    <t>Cost to acquire property</t>
  </si>
  <si>
    <t>Demolition and abatement costs determined by property acquisition.  Foundations of former buildings are considered in site development below.</t>
  </si>
  <si>
    <t>Residential, Townhouses</t>
  </si>
  <si>
    <t>RED LINE EXTENSION  - IMPLEMENTATION PLAN - CATALYST SITE - DEVELOPMENT BUDGET</t>
  </si>
  <si>
    <t>RED LINE EXTENSION  - IMPLEMENTATION PLAN - CATALYST SITES - DEVELOPMENT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</si>
</sst>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??_-;_-@_-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u/>
      <sz val="11"/>
      <color theme="1"/>
      <name val="Arial Narrow"/>
      <family val="2"/>
    </font>
    <font>
      <i/>
      <sz val="11"/>
      <color rgb="FF3F6DC1"/>
      <name val="Arial Narrow"/>
      <family val="2"/>
    </font>
    <font>
      <u val="singleAccounting"/>
      <sz val="12"/>
      <name val="Arial Narrow"/>
      <family val="2"/>
    </font>
    <font>
      <b/>
      <sz val="12"/>
      <color rgb="FF00000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sz val="11"/>
      <color rgb="FF00B050"/>
      <name val="Arial Narrow"/>
      <family val="2"/>
    </font>
    <font>
      <b/>
      <sz val="12"/>
      <color rgb="FF42B07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0"/>
      <color theme="2" tint="-0.499984740745262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sz val="14"/>
      <color theme="0"/>
      <name val="Arial Narrow"/>
      <family val="2"/>
    </font>
    <font>
      <sz val="18"/>
      <name val="Arial Narrow"/>
      <family val="2"/>
    </font>
    <font>
      <b/>
      <sz val="14"/>
      <name val="Arial Narrow"/>
      <family val="2"/>
    </font>
    <font>
      <b/>
      <i/>
      <sz val="11"/>
      <color theme="0"/>
      <name val="Arial Narrow"/>
      <family val="2"/>
    </font>
    <font>
      <b/>
      <i/>
      <sz val="12"/>
      <color theme="0"/>
      <name val="Arial Narrow"/>
      <family val="2"/>
    </font>
    <font>
      <i/>
      <sz val="10"/>
      <name val="Arial Narrow"/>
      <family val="2"/>
    </font>
    <font>
      <b/>
      <sz val="11"/>
      <color rgb="FF419977"/>
      <name val="Arial Narrow"/>
      <family val="2"/>
    </font>
    <font>
      <b/>
      <i/>
      <sz val="11"/>
      <color rgb="FF419977"/>
      <name val="Arial Narrow"/>
      <family val="2"/>
    </font>
    <font>
      <b/>
      <sz val="14"/>
      <color theme="1"/>
      <name val="Arial Narrow"/>
      <family val="2"/>
    </font>
    <font>
      <sz val="14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BFBFB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7A78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30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top"/>
    </xf>
    <xf numFmtId="42" fontId="6" fillId="0" borderId="0" xfId="0" applyNumberFormat="1" applyFont="1" applyFill="1" applyAlignment="1">
      <alignment vertical="top"/>
    </xf>
    <xf numFmtId="42" fontId="9" fillId="0" borderId="0" xfId="0" applyNumberFormat="1" applyFont="1" applyFill="1" applyAlignment="1">
      <alignment horizontal="left" vertical="top"/>
    </xf>
    <xf numFmtId="42" fontId="9" fillId="0" borderId="0" xfId="0" applyNumberFormat="1" applyFont="1" applyFill="1" applyAlignment="1">
      <alignment vertical="top"/>
    </xf>
    <xf numFmtId="166" fontId="6" fillId="0" borderId="0" xfId="1" applyNumberFormat="1" applyFont="1" applyFill="1" applyBorder="1" applyAlignment="1">
      <alignment vertical="top"/>
    </xf>
    <xf numFmtId="0" fontId="10" fillId="0" borderId="0" xfId="0" applyFont="1" applyBorder="1"/>
    <xf numFmtId="0" fontId="5" fillId="0" borderId="0" xfId="4" applyFont="1" applyBorder="1"/>
    <xf numFmtId="0" fontId="5" fillId="0" borderId="0" xfId="4" applyFont="1" applyFill="1" applyBorder="1"/>
    <xf numFmtId="167" fontId="5" fillId="0" borderId="0" xfId="2" applyNumberFormat="1" applyFont="1" applyBorder="1"/>
    <xf numFmtId="42" fontId="7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3" fontId="6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right" vertical="center" wrapText="1"/>
    </xf>
    <xf numFmtId="169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42" fontId="17" fillId="0" borderId="0" xfId="0" applyNumberFormat="1" applyFont="1" applyFill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21" xfId="0" applyFont="1" applyFill="1" applyBorder="1"/>
    <xf numFmtId="3" fontId="7" fillId="3" borderId="1" xfId="0" applyNumberFormat="1" applyFont="1" applyFill="1" applyBorder="1" applyAlignment="1">
      <alignment horizontal="right" vertical="center" wrapText="1"/>
    </xf>
    <xf numFmtId="166" fontId="6" fillId="0" borderId="0" xfId="1" applyNumberFormat="1" applyFont="1" applyFill="1"/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wrapText="1"/>
    </xf>
    <xf numFmtId="0" fontId="15" fillId="0" borderId="0" xfId="0" applyFont="1" applyFill="1"/>
    <xf numFmtId="0" fontId="15" fillId="0" borderId="0" xfId="0" applyFont="1"/>
    <xf numFmtId="0" fontId="10" fillId="0" borderId="0" xfId="0" applyFont="1"/>
    <xf numFmtId="0" fontId="25" fillId="0" borderId="0" xfId="0" applyFont="1" applyFill="1" applyBorder="1" applyAlignment="1">
      <alignment horizontal="center" vertical="center"/>
    </xf>
    <xf numFmtId="0" fontId="26" fillId="0" borderId="0" xfId="0" applyFont="1"/>
    <xf numFmtId="167" fontId="5" fillId="0" borderId="0" xfId="2" applyNumberFormat="1" applyFont="1"/>
    <xf numFmtId="0" fontId="5" fillId="0" borderId="6" xfId="0" applyFont="1" applyFill="1" applyBorder="1"/>
    <xf numFmtId="0" fontId="5" fillId="0" borderId="6" xfId="0" applyFont="1" applyBorder="1"/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7" fontId="5" fillId="0" borderId="1" xfId="2" applyNumberFormat="1" applyFont="1" applyFill="1" applyBorder="1"/>
    <xf numFmtId="166" fontId="5" fillId="0" borderId="1" xfId="1" applyNumberFormat="1" applyFont="1" applyBorder="1"/>
    <xf numFmtId="167" fontId="5" fillId="0" borderId="1" xfId="2" applyNumberFormat="1" applyFont="1" applyBorder="1"/>
    <xf numFmtId="0" fontId="10" fillId="0" borderId="8" xfId="0" applyFont="1" applyBorder="1"/>
    <xf numFmtId="166" fontId="10" fillId="0" borderId="1" xfId="1" applyNumberFormat="1" applyFont="1" applyBorder="1"/>
    <xf numFmtId="167" fontId="10" fillId="0" borderId="1" xfId="2" applyNumberFormat="1" applyFont="1" applyBorder="1"/>
    <xf numFmtId="167" fontId="10" fillId="0" borderId="7" xfId="2" applyNumberFormat="1" applyFont="1" applyBorder="1"/>
    <xf numFmtId="166" fontId="10" fillId="0" borderId="9" xfId="1" applyNumberFormat="1" applyFont="1" applyBorder="1"/>
    <xf numFmtId="167" fontId="10" fillId="0" borderId="9" xfId="2" applyNumberFormat="1" applyFont="1" applyBorder="1"/>
    <xf numFmtId="166" fontId="10" fillId="0" borderId="0" xfId="1" applyNumberFormat="1" applyFont="1" applyBorder="1"/>
    <xf numFmtId="167" fontId="10" fillId="0" borderId="0" xfId="2" applyNumberFormat="1" applyFont="1" applyBorder="1"/>
    <xf numFmtId="44" fontId="5" fillId="0" borderId="0" xfId="2" applyNumberFormat="1" applyFont="1" applyFill="1" applyBorder="1"/>
    <xf numFmtId="0" fontId="10" fillId="0" borderId="0" xfId="0" applyFont="1" applyFill="1" applyBorder="1"/>
    <xf numFmtId="168" fontId="10" fillId="0" borderId="0" xfId="0" applyNumberFormat="1" applyFont="1" applyFill="1" applyBorder="1"/>
    <xf numFmtId="0" fontId="5" fillId="0" borderId="0" xfId="0" applyFont="1" applyAlignment="1">
      <alignment horizontal="left"/>
    </xf>
    <xf numFmtId="0" fontId="28" fillId="0" borderId="0" xfId="0" applyFont="1" applyFill="1"/>
    <xf numFmtId="0" fontId="7" fillId="0" borderId="0" xfId="0" applyFont="1" applyFill="1"/>
    <xf numFmtId="166" fontId="5" fillId="0" borderId="0" xfId="1" applyNumberFormat="1" applyFont="1"/>
    <xf numFmtId="166" fontId="7" fillId="3" borderId="3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right"/>
    </xf>
    <xf numFmtId="166" fontId="6" fillId="2" borderId="3" xfId="1" applyNumberFormat="1" applyFont="1" applyFill="1" applyBorder="1" applyAlignment="1">
      <alignment horizontal="right"/>
    </xf>
    <xf numFmtId="166" fontId="6" fillId="0" borderId="3" xfId="1" applyNumberFormat="1" applyFont="1" applyBorder="1" applyAlignment="1">
      <alignment horizontal="right"/>
    </xf>
    <xf numFmtId="166" fontId="5" fillId="0" borderId="3" xfId="1" applyNumberFormat="1" applyFont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169" fontId="5" fillId="0" borderId="1" xfId="0" applyNumberFormat="1" applyFont="1" applyFill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67" fontId="5" fillId="0" borderId="0" xfId="2" applyNumberFormat="1" applyFont="1" applyFill="1"/>
    <xf numFmtId="0" fontId="2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6" fontId="7" fillId="0" borderId="0" xfId="1" applyNumberFormat="1" applyFont="1" applyFill="1" applyBorder="1" applyAlignment="1">
      <alignment horizontal="left" inden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indent="1"/>
    </xf>
    <xf numFmtId="0" fontId="19" fillId="0" borderId="0" xfId="0" applyFont="1" applyFill="1" applyBorder="1" applyAlignment="1">
      <alignment vertical="center"/>
    </xf>
    <xf numFmtId="0" fontId="5" fillId="3" borderId="0" xfId="0" applyFont="1" applyFill="1"/>
    <xf numFmtId="166" fontId="6" fillId="0" borderId="0" xfId="1" applyNumberFormat="1" applyFont="1" applyFill="1" applyAlignment="1"/>
    <xf numFmtId="0" fontId="6" fillId="0" borderId="0" xfId="0" applyFont="1" applyFill="1" applyAlignment="1"/>
    <xf numFmtId="0" fontId="28" fillId="0" borderId="0" xfId="0" applyFont="1" applyFill="1" applyAlignment="1"/>
    <xf numFmtId="167" fontId="5" fillId="5" borderId="7" xfId="2" applyNumberFormat="1" applyFont="1" applyFill="1" applyBorder="1"/>
    <xf numFmtId="167" fontId="10" fillId="5" borderId="7" xfId="2" applyNumberFormat="1" applyFont="1" applyFill="1" applyBorder="1"/>
    <xf numFmtId="166" fontId="5" fillId="5" borderId="1" xfId="1" applyNumberFormat="1" applyFont="1" applyFill="1" applyBorder="1"/>
    <xf numFmtId="167" fontId="5" fillId="5" borderId="1" xfId="2" applyNumberFormat="1" applyFont="1" applyFill="1" applyBorder="1"/>
    <xf numFmtId="167" fontId="10" fillId="5" borderId="10" xfId="2" applyNumberFormat="1" applyFont="1" applyFill="1" applyBorder="1"/>
    <xf numFmtId="0" fontId="5" fillId="6" borderId="0" xfId="0" applyFont="1" applyFill="1"/>
    <xf numFmtId="0" fontId="6" fillId="5" borderId="0" xfId="0" applyFont="1" applyFill="1"/>
    <xf numFmtId="3" fontId="5" fillId="6" borderId="7" xfId="0" applyNumberFormat="1" applyFont="1" applyFill="1" applyBorder="1"/>
    <xf numFmtId="3" fontId="5" fillId="6" borderId="20" xfId="0" applyNumberFormat="1" applyFont="1" applyFill="1" applyBorder="1"/>
    <xf numFmtId="0" fontId="5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left"/>
    </xf>
    <xf numFmtId="0" fontId="6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27" fillId="0" borderId="0" xfId="0" applyFont="1" applyFill="1" applyAlignment="1">
      <alignment horizontal="left" vertical="center"/>
    </xf>
    <xf numFmtId="0" fontId="20" fillId="0" borderId="0" xfId="0" applyFont="1" applyBorder="1" applyAlignment="1">
      <alignment horizontal="left" vertical="top" wrapText="1"/>
    </xf>
    <xf numFmtId="42" fontId="6" fillId="0" borderId="0" xfId="0" applyNumberFormat="1" applyFont="1" applyFill="1" applyAlignment="1">
      <alignment vertical="center"/>
    </xf>
    <xf numFmtId="42" fontId="6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left"/>
    </xf>
    <xf numFmtId="0" fontId="6" fillId="0" borderId="0" xfId="0" applyFont="1"/>
    <xf numFmtId="0" fontId="11" fillId="0" borderId="0" xfId="0" applyFont="1"/>
    <xf numFmtId="0" fontId="27" fillId="0" borderId="0" xfId="0" applyFont="1" applyFill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center" vertical="center"/>
    </xf>
    <xf numFmtId="42" fontId="6" fillId="0" borderId="0" xfId="0" applyNumberFormat="1" applyFont="1" applyBorder="1" applyAlignment="1">
      <alignment vertical="top"/>
    </xf>
    <xf numFmtId="1" fontId="3" fillId="0" borderId="0" xfId="1" applyNumberFormat="1" applyFont="1" applyFill="1" applyBorder="1" applyAlignment="1">
      <alignment horizontal="left"/>
    </xf>
    <xf numFmtId="166" fontId="13" fillId="0" borderId="0" xfId="1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5" fillId="0" borderId="21" xfId="0" applyFont="1" applyFill="1" applyBorder="1" applyAlignment="1">
      <alignment horizontal="left"/>
    </xf>
    <xf numFmtId="1" fontId="13" fillId="0" borderId="0" xfId="1" applyNumberFormat="1" applyFont="1" applyFill="1" applyBorder="1" applyAlignment="1">
      <alignment horizontal="left"/>
    </xf>
    <xf numFmtId="0" fontId="6" fillId="0" borderId="0" xfId="0" applyFont="1" applyFill="1" applyBorder="1"/>
    <xf numFmtId="0" fontId="11" fillId="0" borderId="0" xfId="0" applyFont="1" applyFill="1"/>
    <xf numFmtId="0" fontId="6" fillId="0" borderId="0" xfId="0" applyFont="1" applyFill="1" applyBorder="1"/>
    <xf numFmtId="1" fontId="20" fillId="0" borderId="0" xfId="1" applyNumberFormat="1" applyFont="1" applyFill="1" applyBorder="1" applyAlignment="1">
      <alignment horizontal="left" wrapText="1"/>
    </xf>
    <xf numFmtId="166" fontId="3" fillId="0" borderId="0" xfId="1" applyNumberFormat="1" applyFont="1" applyFill="1" applyBorder="1" applyAlignment="1">
      <alignment horizontal="left"/>
    </xf>
    <xf numFmtId="1" fontId="32" fillId="0" borderId="0" xfId="1" applyNumberFormat="1" applyFont="1" applyFill="1" applyBorder="1" applyAlignment="1">
      <alignment horizontal="left" wrapText="1"/>
    </xf>
    <xf numFmtId="0" fontId="6" fillId="0" borderId="35" xfId="0" applyFont="1" applyFill="1" applyBorder="1" applyAlignment="1">
      <alignment vertical="top"/>
    </xf>
    <xf numFmtId="164" fontId="8" fillId="0" borderId="35" xfId="2" applyNumberFormat="1" applyFont="1" applyFill="1" applyBorder="1" applyAlignment="1">
      <alignment vertical="center"/>
    </xf>
    <xf numFmtId="0" fontId="6" fillId="0" borderId="0" xfId="0" applyFont="1" applyBorder="1" applyAlignment="1">
      <alignment vertical="top"/>
    </xf>
    <xf numFmtId="0" fontId="15" fillId="0" borderId="34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 vertical="top"/>
    </xf>
    <xf numFmtId="0" fontId="15" fillId="0" borderId="34" xfId="0" applyFont="1" applyFill="1" applyBorder="1" applyAlignment="1">
      <alignment horizontal="left"/>
    </xf>
    <xf numFmtId="167" fontId="6" fillId="0" borderId="0" xfId="2" applyNumberFormat="1" applyFont="1" applyFill="1" applyBorder="1" applyAlignment="1">
      <alignment vertical="top"/>
    </xf>
    <xf numFmtId="42" fontId="7" fillId="0" borderId="0" xfId="0" applyNumberFormat="1" applyFont="1" applyFill="1" applyBorder="1" applyAlignment="1">
      <alignment horizontal="left" vertical="top"/>
    </xf>
    <xf numFmtId="42" fontId="6" fillId="0" borderId="0" xfId="0" applyNumberFormat="1" applyFont="1" applyFill="1" applyBorder="1" applyAlignment="1">
      <alignment vertical="center"/>
    </xf>
    <xf numFmtId="42" fontId="6" fillId="0" borderId="0" xfId="0" applyNumberFormat="1" applyFont="1" applyBorder="1" applyAlignment="1">
      <alignment vertical="center"/>
    </xf>
    <xf numFmtId="42" fontId="20" fillId="0" borderId="34" xfId="0" applyNumberFormat="1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wrapText="1"/>
    </xf>
    <xf numFmtId="42" fontId="7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" fontId="6" fillId="0" borderId="0" xfId="1" applyNumberFormat="1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left" wrapText="1"/>
    </xf>
    <xf numFmtId="0" fontId="15" fillId="0" borderId="27" xfId="0" applyFont="1" applyFill="1" applyBorder="1"/>
    <xf numFmtId="0" fontId="15" fillId="0" borderId="34" xfId="0" applyFont="1" applyFill="1" applyBorder="1"/>
    <xf numFmtId="0" fontId="20" fillId="0" borderId="34" xfId="0" applyFont="1" applyFill="1" applyBorder="1"/>
    <xf numFmtId="0" fontId="15" fillId="0" borderId="34" xfId="0" applyFont="1" applyFill="1" applyBorder="1" applyAlignment="1">
      <alignment vertical="center"/>
    </xf>
    <xf numFmtId="0" fontId="15" fillId="0" borderId="34" xfId="0" applyFont="1" applyBorder="1"/>
    <xf numFmtId="0" fontId="5" fillId="0" borderId="0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6" fillId="0" borderId="12" xfId="0" applyFont="1" applyBorder="1" applyAlignment="1">
      <alignment vertical="top"/>
    </xf>
    <xf numFmtId="0" fontId="6" fillId="0" borderId="22" xfId="0" applyFont="1" applyBorder="1" applyAlignment="1">
      <alignment vertical="top"/>
    </xf>
    <xf numFmtId="42" fontId="6" fillId="0" borderId="22" xfId="0" applyNumberFormat="1" applyFont="1" applyBorder="1" applyAlignment="1">
      <alignment vertical="top"/>
    </xf>
    <xf numFmtId="0" fontId="5" fillId="0" borderId="12" xfId="0" applyFont="1" applyFill="1" applyBorder="1"/>
    <xf numFmtId="0" fontId="5" fillId="0" borderId="22" xfId="0" applyFont="1" applyFill="1" applyBorder="1"/>
    <xf numFmtId="0" fontId="5" fillId="0" borderId="22" xfId="0" applyFont="1" applyBorder="1"/>
    <xf numFmtId="0" fontId="5" fillId="0" borderId="12" xfId="0" applyFont="1" applyBorder="1"/>
    <xf numFmtId="0" fontId="15" fillId="0" borderId="13" xfId="0" applyFont="1" applyBorder="1"/>
    <xf numFmtId="0" fontId="15" fillId="0" borderId="38" xfId="0" applyFont="1" applyBorder="1"/>
    <xf numFmtId="167" fontId="5" fillId="0" borderId="0" xfId="2" applyNumberFormat="1" applyFont="1" applyFill="1" applyBorder="1"/>
    <xf numFmtId="0" fontId="10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42" fontId="10" fillId="0" borderId="0" xfId="0" applyNumberFormat="1" applyFont="1" applyFill="1" applyBorder="1"/>
    <xf numFmtId="3" fontId="10" fillId="0" borderId="0" xfId="0" applyNumberFormat="1" applyFont="1" applyFill="1" applyBorder="1"/>
    <xf numFmtId="42" fontId="5" fillId="5" borderId="14" xfId="0" applyNumberFormat="1" applyFont="1" applyFill="1" applyBorder="1"/>
    <xf numFmtId="0" fontId="5" fillId="0" borderId="0" xfId="4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164" fontId="23" fillId="0" borderId="27" xfId="2" applyNumberFormat="1" applyFont="1" applyFill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top" wrapText="1"/>
    </xf>
    <xf numFmtId="0" fontId="20" fillId="0" borderId="13" xfId="0" applyFont="1" applyBorder="1" applyAlignment="1">
      <alignment horizontal="left" vertical="top" wrapText="1"/>
    </xf>
    <xf numFmtId="0" fontId="20" fillId="0" borderId="38" xfId="0" applyFont="1" applyBorder="1" applyAlignment="1">
      <alignment horizontal="left" vertical="top" wrapText="1"/>
    </xf>
    <xf numFmtId="0" fontId="15" fillId="0" borderId="34" xfId="0" applyFont="1" applyBorder="1" applyAlignment="1">
      <alignment horizontal="left" wrapText="1"/>
    </xf>
    <xf numFmtId="42" fontId="20" fillId="0" borderId="34" xfId="0" applyNumberFormat="1" applyFont="1" applyBorder="1" applyAlignment="1">
      <alignment horizontal="left" vertical="top" wrapText="1"/>
    </xf>
    <xf numFmtId="42" fontId="20" fillId="0" borderId="34" xfId="0" applyNumberFormat="1" applyFont="1" applyFill="1" applyBorder="1" applyAlignment="1">
      <alignment horizontal="left" vertical="top" wrapText="1"/>
    </xf>
    <xf numFmtId="42" fontId="20" fillId="0" borderId="38" xfId="0" applyNumberFormat="1" applyFont="1" applyBorder="1" applyAlignment="1">
      <alignment horizontal="left" vertical="top" wrapText="1"/>
    </xf>
    <xf numFmtId="42" fontId="24" fillId="0" borderId="34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5" fillId="0" borderId="0" xfId="0" applyFont="1" applyFill="1" applyAlignment="1"/>
    <xf numFmtId="0" fontId="25" fillId="0" borderId="0" xfId="0" applyFont="1" applyFill="1" applyBorder="1" applyAlignment="1">
      <alignment horizontal="center"/>
    </xf>
    <xf numFmtId="0" fontId="5" fillId="0" borderId="0" xfId="4" applyFont="1" applyFill="1" applyBorder="1" applyAlignment="1"/>
    <xf numFmtId="0" fontId="5" fillId="0" borderId="0" xfId="4" applyFont="1" applyBorder="1" applyAlignment="1"/>
    <xf numFmtId="0" fontId="6" fillId="0" borderId="35" xfId="0" applyFont="1" applyFill="1" applyBorder="1" applyAlignment="1"/>
    <xf numFmtId="42" fontId="6" fillId="0" borderId="0" xfId="0" applyNumberFormat="1" applyFont="1" applyFill="1" applyBorder="1" applyAlignment="1"/>
    <xf numFmtId="42" fontId="9" fillId="0" borderId="0" xfId="0" applyNumberFormat="1" applyFont="1" applyFill="1" applyBorder="1" applyAlignment="1">
      <alignment horizontal="left"/>
    </xf>
    <xf numFmtId="42" fontId="6" fillId="0" borderId="12" xfId="0" applyNumberFormat="1" applyFont="1" applyFill="1" applyBorder="1" applyAlignment="1"/>
    <xf numFmtId="42" fontId="6" fillId="0" borderId="22" xfId="0" applyNumberFormat="1" applyFont="1" applyFill="1" applyBorder="1" applyAlignment="1"/>
    <xf numFmtId="42" fontId="6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/>
    <xf numFmtId="167" fontId="6" fillId="0" borderId="0" xfId="2" applyNumberFormat="1" applyFont="1" applyFill="1" applyBorder="1" applyAlignment="1"/>
    <xf numFmtId="42" fontId="7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/>
    <xf numFmtId="42" fontId="7" fillId="0" borderId="22" xfId="0" applyNumberFormat="1" applyFont="1" applyFill="1" applyBorder="1" applyAlignment="1">
      <alignment horizontal="center"/>
    </xf>
    <xf numFmtId="0" fontId="5" fillId="0" borderId="12" xfId="0" applyFont="1" applyFill="1" applyBorder="1" applyAlignment="1"/>
    <xf numFmtId="0" fontId="5" fillId="0" borderId="22" xfId="0" applyFont="1" applyFill="1" applyBorder="1" applyAlignment="1"/>
    <xf numFmtId="42" fontId="6" fillId="0" borderId="22" xfId="0" applyNumberFormat="1" applyFont="1" applyFill="1" applyBorder="1" applyAlignment="1">
      <alignment horizontal="left"/>
    </xf>
    <xf numFmtId="42" fontId="6" fillId="0" borderId="2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32" xfId="0" applyFont="1" applyFill="1" applyBorder="1" applyAlignment="1"/>
    <xf numFmtId="0" fontId="5" fillId="0" borderId="36" xfId="0" applyFont="1" applyFill="1" applyBorder="1" applyAlignment="1"/>
    <xf numFmtId="0" fontId="5" fillId="0" borderId="11" xfId="0" applyFont="1" applyFill="1" applyBorder="1" applyAlignment="1"/>
    <xf numFmtId="0" fontId="5" fillId="0" borderId="37" xfId="0" applyFont="1" applyFill="1" applyBorder="1" applyAlignment="1"/>
    <xf numFmtId="42" fontId="6" fillId="0" borderId="36" xfId="0" applyNumberFormat="1" applyFont="1" applyFill="1" applyBorder="1" applyAlignment="1"/>
    <xf numFmtId="166" fontId="6" fillId="0" borderId="36" xfId="1" applyNumberFormat="1" applyFont="1" applyFill="1" applyBorder="1" applyAlignment="1"/>
    <xf numFmtId="167" fontId="6" fillId="0" borderId="36" xfId="2" quotePrefix="1" applyNumberFormat="1" applyFont="1" applyFill="1" applyBorder="1" applyAlignment="1"/>
    <xf numFmtId="168" fontId="5" fillId="0" borderId="36" xfId="0" applyNumberFormat="1" applyFont="1" applyFill="1" applyBorder="1" applyAlignment="1"/>
    <xf numFmtId="168" fontId="6" fillId="0" borderId="23" xfId="0" applyNumberFormat="1" applyFont="1" applyFill="1" applyBorder="1" applyAlignment="1"/>
    <xf numFmtId="167" fontId="6" fillId="0" borderId="36" xfId="2" applyNumberFormat="1" applyFont="1" applyFill="1" applyBorder="1" applyAlignment="1"/>
    <xf numFmtId="42" fontId="8" fillId="0" borderId="36" xfId="0" applyNumberFormat="1" applyFont="1" applyFill="1" applyBorder="1" applyAlignment="1">
      <alignment horizontal="center"/>
    </xf>
    <xf numFmtId="167" fontId="5" fillId="0" borderId="36" xfId="0" applyNumberFormat="1" applyFont="1" applyFill="1" applyBorder="1" applyAlignment="1"/>
    <xf numFmtId="42" fontId="8" fillId="0" borderId="37" xfId="0" applyNumberFormat="1" applyFont="1" applyFill="1" applyBorder="1" applyAlignment="1">
      <alignment horizontal="center"/>
    </xf>
    <xf numFmtId="0" fontId="7" fillId="0" borderId="35" xfId="0" applyFont="1" applyFill="1" applyBorder="1" applyAlignment="1"/>
    <xf numFmtId="166" fontId="6" fillId="0" borderId="35" xfId="1" applyNumberFormat="1" applyFont="1" applyFill="1" applyBorder="1" applyAlignment="1"/>
    <xf numFmtId="166" fontId="6" fillId="0" borderId="0" xfId="1" applyNumberFormat="1" applyFont="1" applyFill="1" applyBorder="1" applyAlignment="1"/>
    <xf numFmtId="166" fontId="6" fillId="6" borderId="0" xfId="1" applyNumberFormat="1" applyFont="1" applyFill="1" applyBorder="1" applyAlignment="1"/>
    <xf numFmtId="168" fontId="5" fillId="0" borderId="0" xfId="0" applyNumberFormat="1" applyFont="1" applyFill="1" applyBorder="1" applyAlignment="1"/>
    <xf numFmtId="0" fontId="16" fillId="0" borderId="0" xfId="0" applyFont="1" applyFill="1" applyBorder="1" applyAlignment="1"/>
    <xf numFmtId="168" fontId="16" fillId="0" borderId="0" xfId="0" applyNumberFormat="1" applyFont="1" applyFill="1" applyBorder="1" applyAlignment="1"/>
    <xf numFmtId="0" fontId="5" fillId="0" borderId="0" xfId="0" applyFont="1" applyBorder="1" applyAlignment="1"/>
    <xf numFmtId="0" fontId="5" fillId="0" borderId="12" xfId="0" applyFont="1" applyBorder="1" applyAlignment="1"/>
    <xf numFmtId="42" fontId="8" fillId="0" borderId="22" xfId="0" applyNumberFormat="1" applyFont="1" applyFill="1" applyBorder="1" applyAlignment="1">
      <alignment horizontal="center"/>
    </xf>
    <xf numFmtId="166" fontId="8" fillId="0" borderId="22" xfId="1" applyNumberFormat="1" applyFont="1" applyFill="1" applyBorder="1" applyAlignment="1">
      <alignment horizontal="center"/>
    </xf>
    <xf numFmtId="0" fontId="5" fillId="0" borderId="0" xfId="0" applyFont="1" applyAlignment="1"/>
    <xf numFmtId="0" fontId="7" fillId="0" borderId="0" xfId="0" applyFont="1" applyFill="1" applyBorder="1" applyAlignment="1"/>
    <xf numFmtId="42" fontId="8" fillId="0" borderId="0" xfId="0" applyNumberFormat="1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0" fontId="10" fillId="0" borderId="0" xfId="0" applyFont="1" applyAlignment="1"/>
    <xf numFmtId="0" fontId="6" fillId="0" borderId="32" xfId="0" applyFont="1" applyFill="1" applyBorder="1" applyAlignment="1"/>
    <xf numFmtId="42" fontId="9" fillId="0" borderId="36" xfId="0" applyNumberFormat="1" applyFont="1" applyFill="1" applyBorder="1" applyAlignment="1">
      <alignment horizontal="left"/>
    </xf>
    <xf numFmtId="166" fontId="9" fillId="0" borderId="0" xfId="1" applyNumberFormat="1" applyFont="1" applyFill="1" applyBorder="1" applyAlignment="1">
      <alignment horizontal="left"/>
    </xf>
    <xf numFmtId="42" fontId="6" fillId="0" borderId="11" xfId="0" applyNumberFormat="1" applyFont="1" applyFill="1" applyBorder="1" applyAlignment="1"/>
    <xf numFmtId="166" fontId="6" fillId="0" borderId="12" xfId="1" applyNumberFormat="1" applyFont="1" applyFill="1" applyBorder="1" applyAlignment="1"/>
    <xf numFmtId="42" fontId="6" fillId="0" borderId="37" xfId="0" applyNumberFormat="1" applyFont="1" applyFill="1" applyBorder="1" applyAlignment="1"/>
    <xf numFmtId="166" fontId="6" fillId="0" borderId="22" xfId="1" applyNumberFormat="1" applyFont="1" applyFill="1" applyBorder="1" applyAlignment="1"/>
    <xf numFmtId="42" fontId="17" fillId="0" borderId="36" xfId="0" applyNumberFormat="1" applyFont="1" applyFill="1" applyBorder="1" applyAlignment="1">
      <alignment horizontal="left"/>
    </xf>
    <xf numFmtId="42" fontId="17" fillId="0" borderId="0" xfId="0" applyNumberFormat="1" applyFont="1" applyFill="1" applyBorder="1" applyAlignment="1">
      <alignment horizontal="left"/>
    </xf>
    <xf numFmtId="166" fontId="17" fillId="0" borderId="0" xfId="1" applyNumberFormat="1" applyFont="1" applyFill="1" applyBorder="1" applyAlignment="1">
      <alignment horizontal="left"/>
    </xf>
    <xf numFmtId="166" fontId="5" fillId="0" borderId="0" xfId="1" applyNumberFormat="1" applyFont="1" applyFill="1" applyBorder="1" applyAlignment="1"/>
    <xf numFmtId="168" fontId="6" fillId="0" borderId="36" xfId="3" applyNumberFormat="1" applyFont="1" applyFill="1" applyBorder="1" applyAlignment="1"/>
    <xf numFmtId="168" fontId="6" fillId="0" borderId="36" xfId="3" applyNumberFormat="1" applyFont="1" applyFill="1" applyBorder="1" applyAlignment="1">
      <alignment horizontal="right"/>
    </xf>
    <xf numFmtId="168" fontId="9" fillId="0" borderId="36" xfId="0" applyNumberFormat="1" applyFont="1" applyFill="1" applyBorder="1" applyAlignment="1">
      <alignment horizontal="left"/>
    </xf>
    <xf numFmtId="168" fontId="6" fillId="0" borderId="36" xfId="0" applyNumberFormat="1" applyFont="1" applyFill="1" applyBorder="1" applyAlignment="1"/>
    <xf numFmtId="10" fontId="9" fillId="0" borderId="36" xfId="0" applyNumberFormat="1" applyFont="1" applyFill="1" applyBorder="1" applyAlignment="1"/>
    <xf numFmtId="42" fontId="9" fillId="0" borderId="0" xfId="0" applyNumberFormat="1" applyFont="1" applyFill="1" applyBorder="1" applyAlignment="1"/>
    <xf numFmtId="166" fontId="9" fillId="0" borderId="0" xfId="1" applyNumberFormat="1" applyFont="1" applyFill="1" applyBorder="1" applyAlignment="1"/>
    <xf numFmtId="42" fontId="7" fillId="0" borderId="36" xfId="0" applyNumberFormat="1" applyFont="1" applyFill="1" applyBorder="1" applyAlignment="1"/>
    <xf numFmtId="166" fontId="7" fillId="0" borderId="0" xfId="1" applyNumberFormat="1" applyFont="1" applyFill="1" applyBorder="1" applyAlignment="1"/>
    <xf numFmtId="9" fontId="6" fillId="0" borderId="36" xfId="3" applyFont="1" applyFill="1" applyBorder="1" applyAlignment="1"/>
    <xf numFmtId="166" fontId="5" fillId="0" borderId="0" xfId="1" applyNumberFormat="1" applyFont="1" applyFill="1" applyAlignment="1"/>
    <xf numFmtId="0" fontId="10" fillId="0" borderId="0" xfId="0" applyFont="1" applyFill="1" applyAlignment="1">
      <alignment horizontal="left"/>
    </xf>
    <xf numFmtId="0" fontId="6" fillId="0" borderId="0" xfId="0" applyFont="1" applyFill="1" applyBorder="1"/>
    <xf numFmtId="0" fontId="15" fillId="0" borderId="34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25" fillId="0" borderId="0" xfId="0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wrapText="1"/>
    </xf>
    <xf numFmtId="0" fontId="15" fillId="0" borderId="27" xfId="0" applyFont="1" applyFill="1" applyBorder="1" applyAlignment="1">
      <alignment wrapText="1"/>
    </xf>
    <xf numFmtId="0" fontId="15" fillId="0" borderId="13" xfId="0" applyFont="1" applyFill="1" applyBorder="1" applyAlignment="1">
      <alignment wrapText="1"/>
    </xf>
    <xf numFmtId="0" fontId="15" fillId="0" borderId="38" xfId="0" applyFont="1" applyFill="1" applyBorder="1" applyAlignment="1">
      <alignment wrapText="1"/>
    </xf>
    <xf numFmtId="0" fontId="20" fillId="0" borderId="34" xfId="0" applyFont="1" applyFill="1" applyBorder="1" applyAlignment="1">
      <alignment wrapText="1"/>
    </xf>
    <xf numFmtId="0" fontId="15" fillId="0" borderId="34" xfId="0" applyFont="1" applyFill="1" applyBorder="1" applyAlignment="1">
      <alignment vertical="center" wrapText="1"/>
    </xf>
    <xf numFmtId="0" fontId="15" fillId="0" borderId="34" xfId="0" applyFont="1" applyBorder="1" applyAlignment="1">
      <alignment wrapText="1"/>
    </xf>
    <xf numFmtId="0" fontId="21" fillId="0" borderId="34" xfId="0" applyFont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center"/>
    </xf>
    <xf numFmtId="0" fontId="27" fillId="3" borderId="16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left" vertical="center"/>
    </xf>
    <xf numFmtId="0" fontId="26" fillId="3" borderId="16" xfId="0" applyFont="1" applyFill="1" applyBorder="1" applyAlignment="1">
      <alignment vertical="center"/>
    </xf>
    <xf numFmtId="0" fontId="35" fillId="3" borderId="15" xfId="0" applyFont="1" applyFill="1" applyBorder="1" applyAlignment="1">
      <alignment vertical="center"/>
    </xf>
    <xf numFmtId="0" fontId="26" fillId="0" borderId="0" xfId="4" applyFont="1" applyFill="1" applyBorder="1"/>
    <xf numFmtId="0" fontId="20" fillId="3" borderId="17" xfId="0" applyFont="1" applyFill="1" applyBorder="1" applyAlignment="1">
      <alignment horizontal="left" vertical="top" wrapText="1"/>
    </xf>
    <xf numFmtId="0" fontId="3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166" fontId="6" fillId="6" borderId="1" xfId="1" applyNumberFormat="1" applyFont="1" applyFill="1" applyBorder="1" applyAlignment="1"/>
    <xf numFmtId="166" fontId="6" fillId="6" borderId="39" xfId="1" applyNumberFormat="1" applyFont="1" applyFill="1" applyBorder="1" applyAlignment="1"/>
    <xf numFmtId="166" fontId="6" fillId="6" borderId="40" xfId="1" applyNumberFormat="1" applyFont="1" applyFill="1" applyBorder="1" applyAlignment="1"/>
    <xf numFmtId="166" fontId="6" fillId="6" borderId="19" xfId="1" applyNumberFormat="1" applyFont="1" applyFill="1" applyBorder="1" applyAlignment="1"/>
    <xf numFmtId="166" fontId="5" fillId="0" borderId="1" xfId="1" applyNumberFormat="1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166" fontId="6" fillId="0" borderId="3" xfId="1" applyNumberFormat="1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166" fontId="0" fillId="0" borderId="1" xfId="1" applyNumberFormat="1" applyFont="1" applyFill="1" applyBorder="1" applyAlignment="1">
      <alignment vertical="center"/>
    </xf>
    <xf numFmtId="3" fontId="0" fillId="0" borderId="1" xfId="0" applyNumberFormat="1" applyBorder="1" applyAlignment="1">
      <alignment vertic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vertical="center" wrapText="1"/>
    </xf>
    <xf numFmtId="169" fontId="5" fillId="0" borderId="1" xfId="0" applyNumberFormat="1" applyFont="1" applyBorder="1" applyAlignment="1">
      <alignment horizontal="right" vertical="center"/>
    </xf>
    <xf numFmtId="0" fontId="0" fillId="0" borderId="1" xfId="0" applyBorder="1"/>
    <xf numFmtId="1" fontId="0" fillId="0" borderId="1" xfId="0" applyNumberFormat="1" applyBorder="1" applyAlignment="1">
      <alignment vertical="center"/>
    </xf>
    <xf numFmtId="3" fontId="0" fillId="2" borderId="1" xfId="0" applyNumberFormat="1" applyFill="1" applyBorder="1" applyAlignment="1">
      <alignment vertical="center" wrapText="1"/>
    </xf>
    <xf numFmtId="3" fontId="5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15" fillId="0" borderId="22" xfId="0" applyFont="1" applyFill="1" applyBorder="1"/>
    <xf numFmtId="0" fontId="14" fillId="4" borderId="0" xfId="0" applyFont="1" applyFill="1" applyBorder="1" applyAlignment="1">
      <alignment horizontal="left" vertic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right"/>
    </xf>
    <xf numFmtId="9" fontId="5" fillId="0" borderId="1" xfId="0" applyNumberFormat="1" applyFont="1" applyBorder="1"/>
    <xf numFmtId="0" fontId="5" fillId="0" borderId="41" xfId="0" applyFont="1" applyBorder="1"/>
    <xf numFmtId="9" fontId="5" fillId="0" borderId="39" xfId="0" applyNumberFormat="1" applyFont="1" applyBorder="1"/>
    <xf numFmtId="0" fontId="10" fillId="0" borderId="28" xfId="0" applyFont="1" applyBorder="1"/>
    <xf numFmtId="0" fontId="5" fillId="0" borderId="33" xfId="0" applyFont="1" applyBorder="1"/>
    <xf numFmtId="0" fontId="5" fillId="0" borderId="36" xfId="0" applyFont="1" applyFill="1" applyBorder="1" applyAlignment="1">
      <alignment horizontal="center"/>
    </xf>
    <xf numFmtId="167" fontId="5" fillId="0" borderId="34" xfId="2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/>
    </xf>
    <xf numFmtId="3" fontId="5" fillId="6" borderId="3" xfId="0" applyNumberFormat="1" applyFont="1" applyFill="1" applyBorder="1"/>
    <xf numFmtId="3" fontId="5" fillId="6" borderId="43" xfId="0" applyNumberFormat="1" applyFont="1" applyFill="1" applyBorder="1"/>
    <xf numFmtId="3" fontId="6" fillId="6" borderId="43" xfId="0" applyNumberFormat="1" applyFont="1" applyFill="1" applyBorder="1" applyAlignment="1">
      <alignment horizontal="center" vertical="center" wrapText="1"/>
    </xf>
    <xf numFmtId="3" fontId="6" fillId="6" borderId="20" xfId="0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167" fontId="5" fillId="5" borderId="14" xfId="2" applyNumberFormat="1" applyFont="1" applyFill="1" applyBorder="1"/>
    <xf numFmtId="42" fontId="10" fillId="0" borderId="45" xfId="0" applyNumberFormat="1" applyFont="1" applyFill="1" applyBorder="1"/>
    <xf numFmtId="0" fontId="5" fillId="0" borderId="17" xfId="0" applyFont="1" applyFill="1" applyBorder="1" applyAlignment="1">
      <alignment horizontal="center" wrapText="1"/>
    </xf>
    <xf numFmtId="167" fontId="5" fillId="5" borderId="31" xfId="2" applyNumberFormat="1" applyFont="1" applyFill="1" applyBorder="1"/>
    <xf numFmtId="42" fontId="5" fillId="5" borderId="26" xfId="0" applyNumberFormat="1" applyFont="1" applyFill="1" applyBorder="1" applyAlignment="1">
      <alignment horizontal="right"/>
    </xf>
    <xf numFmtId="0" fontId="10" fillId="2" borderId="16" xfId="0" applyFont="1" applyFill="1" applyBorder="1" applyAlignment="1"/>
    <xf numFmtId="0" fontId="10" fillId="2" borderId="17" xfId="0" applyFont="1" applyFill="1" applyBorder="1" applyAlignment="1"/>
    <xf numFmtId="167" fontId="10" fillId="5" borderId="29" xfId="2" applyNumberFormat="1" applyFont="1" applyFill="1" applyBorder="1"/>
    <xf numFmtId="167" fontId="5" fillId="5" borderId="42" xfId="2" applyNumberFormat="1" applyFont="1" applyFill="1" applyBorder="1"/>
    <xf numFmtId="3" fontId="5" fillId="6" borderId="46" xfId="0" applyNumberFormat="1" applyFont="1" applyFill="1" applyBorder="1"/>
    <xf numFmtId="3" fontId="5" fillId="6" borderId="42" xfId="0" applyNumberFormat="1" applyFont="1" applyFill="1" applyBorder="1"/>
    <xf numFmtId="3" fontId="10" fillId="6" borderId="44" xfId="0" applyNumberFormat="1" applyFont="1" applyFill="1" applyBorder="1"/>
    <xf numFmtId="3" fontId="10" fillId="6" borderId="29" xfId="0" applyNumberFormat="1" applyFont="1" applyFill="1" applyBorder="1"/>
    <xf numFmtId="0" fontId="5" fillId="0" borderId="26" xfId="0" applyFont="1" applyFill="1" applyBorder="1" applyAlignment="1">
      <alignment horizontal="center"/>
    </xf>
    <xf numFmtId="166" fontId="5" fillId="6" borderId="7" xfId="1" applyNumberFormat="1" applyFont="1" applyFill="1" applyBorder="1"/>
    <xf numFmtId="166" fontId="5" fillId="0" borderId="7" xfId="1" applyNumberFormat="1" applyFont="1" applyFill="1" applyBorder="1"/>
    <xf numFmtId="166" fontId="10" fillId="0" borderId="10" xfId="1" applyNumberFormat="1" applyFont="1" applyFill="1" applyBorder="1"/>
    <xf numFmtId="0" fontId="10" fillId="2" borderId="15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right" vertical="center"/>
    </xf>
    <xf numFmtId="0" fontId="7" fillId="0" borderId="26" xfId="0" applyFont="1" applyFill="1" applyBorder="1" applyAlignment="1">
      <alignment horizontal="left" vertical="center" indent="1"/>
    </xf>
    <xf numFmtId="0" fontId="10" fillId="3" borderId="6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left" indent="1"/>
    </xf>
    <xf numFmtId="0" fontId="10" fillId="3" borderId="8" xfId="0" applyFont="1" applyFill="1" applyBorder="1" applyAlignment="1">
      <alignment horizontal="right"/>
    </xf>
    <xf numFmtId="0" fontId="10" fillId="0" borderId="26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10" fillId="0" borderId="26" xfId="0" applyFont="1" applyFill="1" applyBorder="1" applyAlignment="1">
      <alignment horizontal="left" indent="2"/>
    </xf>
    <xf numFmtId="0" fontId="10" fillId="0" borderId="7" xfId="0" applyFont="1" applyFill="1" applyBorder="1" applyAlignment="1">
      <alignment horizontal="left" indent="2"/>
    </xf>
    <xf numFmtId="0" fontId="10" fillId="0" borderId="10" xfId="0" applyFont="1" applyFill="1" applyBorder="1" applyAlignment="1">
      <alignment horizontal="left" indent="2"/>
    </xf>
    <xf numFmtId="167" fontId="10" fillId="0" borderId="0" xfId="2" applyNumberFormat="1" applyFont="1" applyFill="1" applyBorder="1"/>
    <xf numFmtId="3" fontId="7" fillId="3" borderId="32" xfId="0" applyNumberFormat="1" applyFont="1" applyFill="1" applyBorder="1" applyAlignment="1">
      <alignment horizontal="left" vertical="center" indent="2"/>
    </xf>
    <xf numFmtId="0" fontId="6" fillId="3" borderId="27" xfId="0" applyFont="1" applyFill="1" applyBorder="1" applyAlignment="1"/>
    <xf numFmtId="0" fontId="7" fillId="0" borderId="10" xfId="0" applyFont="1" applyFill="1" applyBorder="1" applyAlignment="1">
      <alignment horizontal="left" indent="1"/>
    </xf>
    <xf numFmtId="0" fontId="19" fillId="0" borderId="32" xfId="0" applyFont="1" applyFill="1" applyBorder="1" applyAlignment="1">
      <alignment vertical="center"/>
    </xf>
    <xf numFmtId="0" fontId="25" fillId="0" borderId="27" xfId="0" applyFont="1" applyFill="1" applyBorder="1" applyAlignment="1">
      <alignment horizontal="center"/>
    </xf>
    <xf numFmtId="3" fontId="7" fillId="3" borderId="37" xfId="0" applyNumberFormat="1" applyFont="1" applyFill="1" applyBorder="1" applyAlignment="1">
      <alignment horizontal="left" vertical="center" indent="2"/>
    </xf>
    <xf numFmtId="0" fontId="6" fillId="3" borderId="38" xfId="0" applyFont="1" applyFill="1" applyBorder="1" applyAlignment="1"/>
    <xf numFmtId="0" fontId="10" fillId="0" borderId="15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7" fillId="0" borderId="0" xfId="0" applyFont="1" applyAlignment="1">
      <alignment horizontal="center" vertical="top"/>
    </xf>
    <xf numFmtId="42" fontId="5" fillId="5" borderId="13" xfId="0" applyNumberFormat="1" applyFont="1" applyFill="1" applyBorder="1" applyAlignment="1">
      <alignment horizontal="right"/>
    </xf>
    <xf numFmtId="0" fontId="20" fillId="0" borderId="34" xfId="0" applyFont="1" applyBorder="1" applyAlignment="1">
      <alignment horizontal="left" wrapText="1"/>
    </xf>
    <xf numFmtId="0" fontId="3" fillId="0" borderId="40" xfId="0" applyFont="1" applyBorder="1" applyAlignment="1">
      <alignment horizontal="left"/>
    </xf>
    <xf numFmtId="0" fontId="33" fillId="0" borderId="40" xfId="0" applyFont="1" applyBorder="1" applyAlignment="1"/>
    <xf numFmtId="0" fontId="6" fillId="0" borderId="40" xfId="0" applyFont="1" applyBorder="1" applyAlignment="1">
      <alignment horizontal="right"/>
    </xf>
    <xf numFmtId="0" fontId="8" fillId="7" borderId="40" xfId="0" applyFont="1" applyFill="1" applyBorder="1" applyAlignment="1">
      <alignment horizontal="left"/>
    </xf>
    <xf numFmtId="0" fontId="12" fillId="0" borderId="40" xfId="0" applyFont="1" applyBorder="1" applyAlignment="1"/>
    <xf numFmtId="0" fontId="6" fillId="0" borderId="40" xfId="0" applyFont="1" applyFill="1" applyBorder="1" applyAlignment="1">
      <alignment horizontal="right"/>
    </xf>
    <xf numFmtId="0" fontId="33" fillId="0" borderId="40" xfId="0" applyFont="1" applyFill="1" applyBorder="1" applyAlignment="1">
      <alignment horizontal="right"/>
    </xf>
    <xf numFmtId="0" fontId="5" fillId="0" borderId="40" xfId="0" applyFont="1" applyBorder="1" applyAlignment="1"/>
    <xf numFmtId="0" fontId="18" fillId="0" borderId="40" xfId="0" applyFont="1" applyBorder="1" applyAlignment="1"/>
    <xf numFmtId="0" fontId="4" fillId="7" borderId="40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 wrapText="1"/>
    </xf>
    <xf numFmtId="0" fontId="6" fillId="0" borderId="40" xfId="0" applyFont="1" applyBorder="1" applyAlignment="1"/>
    <xf numFmtId="0" fontId="6" fillId="0" borderId="19" xfId="0" applyFont="1" applyBorder="1" applyAlignment="1">
      <alignment horizontal="right"/>
    </xf>
    <xf numFmtId="0" fontId="25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6" fillId="0" borderId="0" xfId="0" applyFont="1" applyBorder="1" applyAlignment="1"/>
    <xf numFmtId="165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/>
    <xf numFmtId="42" fontId="20" fillId="0" borderId="0" xfId="0" applyNumberFormat="1" applyFont="1" applyBorder="1" applyAlignment="1">
      <alignment horizontal="left" vertical="top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Border="1"/>
    <xf numFmtId="0" fontId="6" fillId="0" borderId="0" xfId="0" applyFont="1" applyFill="1" applyBorder="1" applyAlignment="1">
      <alignment vertical="top"/>
    </xf>
    <xf numFmtId="42" fontId="7" fillId="0" borderId="0" xfId="0" applyNumberFormat="1" applyFont="1" applyBorder="1" applyAlignment="1">
      <alignment vertical="top"/>
    </xf>
    <xf numFmtId="42" fontId="24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42" fontId="8" fillId="0" borderId="0" xfId="0" applyNumberFormat="1" applyFont="1" applyBorder="1" applyAlignment="1">
      <alignment horizontal="center" vertical="center"/>
    </xf>
    <xf numFmtId="42" fontId="23" fillId="0" borderId="0" xfId="0" applyNumberFormat="1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vertical="top"/>
    </xf>
    <xf numFmtId="165" fontId="20" fillId="0" borderId="0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wrapText="1"/>
    </xf>
    <xf numFmtId="0" fontId="20" fillId="0" borderId="34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10" fillId="2" borderId="32" xfId="0" applyFont="1" applyFill="1" applyBorder="1" applyAlignment="1"/>
    <xf numFmtId="0" fontId="10" fillId="2" borderId="35" xfId="0" applyFont="1" applyFill="1" applyBorder="1" applyAlignment="1"/>
    <xf numFmtId="0" fontId="10" fillId="2" borderId="27" xfId="0" applyFont="1" applyFill="1" applyBorder="1" applyAlignment="1"/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0" fillId="0" borderId="0" xfId="0" applyAlignment="1"/>
    <xf numFmtId="0" fontId="20" fillId="0" borderId="47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4" fillId="7" borderId="0" xfId="0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vertical="center"/>
    </xf>
    <xf numFmtId="0" fontId="35" fillId="3" borderId="16" xfId="0" applyFont="1" applyFill="1" applyBorder="1" applyAlignment="1">
      <alignment vertical="center"/>
    </xf>
    <xf numFmtId="0" fontId="35" fillId="3" borderId="17" xfId="0" applyFont="1" applyFill="1" applyBorder="1" applyAlignment="1">
      <alignment vertical="center"/>
    </xf>
  </cellXfs>
  <cellStyles count="5">
    <cellStyle name="Comma" xfId="1" builtinId="3"/>
    <cellStyle name="Currency" xfId="2" builtinId="4"/>
    <cellStyle name="Normal" xfId="0" builtinId="0"/>
    <cellStyle name="Normal 2" xfId="4" xr:uid="{6A91E870-BC25-4341-A75E-7E4271A7CF4A}"/>
    <cellStyle name="Percent" xfId="3" builtinId="5"/>
  </cellStyles>
  <dxfs count="0"/>
  <tableStyles count="0" defaultTableStyle="TableStyleMedium2" defaultPivotStyle="PivotStyleLight16"/>
  <colors>
    <mruColors>
      <color rgb="FFE2CFF1"/>
      <color rgb="FFF5C5C3"/>
      <color rgb="FF419977"/>
      <color rgb="FF388467"/>
      <color rgb="FFF1E8F8"/>
      <color rgb="FFFFCDCD"/>
      <color rgb="FFFFE5E5"/>
      <color rgb="FFFFC9C9"/>
      <color rgb="FFEE9E9A"/>
      <color rgb="FFEA87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142604</xdr:colOff>
      <xdr:row>40</xdr:row>
      <xdr:rowOff>148169</xdr:rowOff>
    </xdr:from>
    <xdr:to>
      <xdr:col>5</xdr:col>
      <xdr:colOff>1206500</xdr:colOff>
      <xdr:row>61</xdr:row>
      <xdr:rowOff>36485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56B26F-611E-D9E6-8F7D-D56134ECD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151"/>
        <a:stretch/>
      </xdr:blipFill>
      <xdr:spPr>
        <a:xfrm>
          <a:off x="375437" y="9588502"/>
          <a:ext cx="6863563" cy="4820150"/>
        </a:xfrm>
        <a:prstGeom prst="rect">
          <a:avLst/>
        </a:prstGeom>
      </xdr:spPr>
    </xdr:pic>
    <xdr:clientData/>
  </xdr:twoCellAnchor>
  <xdr:twoCellAnchor>
    <xdr:from>
      <xdr:col>3</xdr:col>
      <xdr:colOff>959684</xdr:colOff>
      <xdr:row>10</xdr:row>
      <xdr:rowOff>45508</xdr:rowOff>
    </xdr:from>
    <xdr:to>
      <xdr:col>8</xdr:col>
      <xdr:colOff>910167</xdr:colOff>
      <xdr:row>36</xdr:row>
      <xdr:rowOff>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AC73FC3D-A0EA-93E4-9F0A-753F945E7DC3}"/>
            </a:ext>
          </a:extLst>
        </xdr:cNvPr>
        <xdr:cNvGrpSpPr/>
      </xdr:nvGrpSpPr>
      <xdr:grpSpPr>
        <a:xfrm>
          <a:off x="3377648" y="2704951"/>
          <a:ext cx="8288569" cy="6109028"/>
          <a:chOff x="507776" y="1815306"/>
          <a:chExt cx="5969469" cy="6039644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E2AE96D-D818-3C9E-E5AE-D69845DB7A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569" b="1569"/>
          <a:stretch/>
        </xdr:blipFill>
        <xdr:spPr>
          <a:xfrm>
            <a:off x="507776" y="1876568"/>
            <a:ext cx="5969469" cy="5838681"/>
          </a:xfrm>
          <a:prstGeom prst="rect">
            <a:avLst/>
          </a:prstGeom>
        </xdr:spPr>
      </xdr:pic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60484A52-C590-E81A-15E3-675DC727C3E1}"/>
              </a:ext>
            </a:extLst>
          </xdr:cNvPr>
          <xdr:cNvSpPr/>
        </xdr:nvSpPr>
        <xdr:spPr>
          <a:xfrm>
            <a:off x="571500" y="1815306"/>
            <a:ext cx="3663950" cy="25955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3A6DADF7-A876-5E11-2C95-A5CB6C1AC291}"/>
              </a:ext>
            </a:extLst>
          </xdr:cNvPr>
          <xdr:cNvSpPr/>
        </xdr:nvSpPr>
        <xdr:spPr>
          <a:xfrm>
            <a:off x="678656" y="7572375"/>
            <a:ext cx="5631656" cy="282575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882AC72E-7134-137F-631D-574688859AB2}"/>
              </a:ext>
            </a:extLst>
          </xdr:cNvPr>
          <xdr:cNvSpPr/>
        </xdr:nvSpPr>
        <xdr:spPr>
          <a:xfrm>
            <a:off x="6015831" y="4087019"/>
            <a:ext cx="219869" cy="776288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85A7-E413-4D6E-86CE-6DA32524C271}">
  <sheetPr>
    <tabColor rgb="FFFF4747"/>
    <pageSetUpPr fitToPage="1"/>
  </sheetPr>
  <dimension ref="B1:P77"/>
  <sheetViews>
    <sheetView tabSelected="1" zoomScale="71" zoomScaleNormal="71" workbookViewId="0">
      <selection sqref="A1:XFD1"/>
    </sheetView>
  </sheetViews>
  <sheetFormatPr defaultColWidth="8.7265625" defaultRowHeight="14" x14ac:dyDescent="0.3"/>
  <cols>
    <col min="1" max="1" width="3.453125" style="1" customWidth="1"/>
    <col min="2" max="2" width="15.08984375" style="1" customWidth="1"/>
    <col min="3" max="3" width="16" style="1" customWidth="1"/>
    <col min="4" max="4" width="31.453125" style="1" customWidth="1"/>
    <col min="5" max="5" width="20.36328125" style="1" customWidth="1"/>
    <col min="6" max="6" width="23.54296875" style="1" customWidth="1"/>
    <col min="7" max="7" width="34.90625" style="1" customWidth="1"/>
    <col min="8" max="8" width="9" style="1" customWidth="1"/>
    <col min="9" max="9" width="20" style="1" customWidth="1"/>
    <col min="10" max="10" width="4.1796875" style="43" customWidth="1"/>
    <col min="11" max="11" width="28.90625" style="1" customWidth="1"/>
    <col min="12" max="12" width="12.54296875" style="1" customWidth="1"/>
    <col min="13" max="13" width="16.90625" style="1" customWidth="1"/>
    <col min="14" max="14" width="17.1796875" style="1" customWidth="1"/>
    <col min="15" max="15" width="13.54296875" style="1" customWidth="1"/>
    <col min="16" max="16" width="8.7265625" style="1"/>
    <col min="17" max="17" width="58.26953125" style="1" customWidth="1"/>
    <col min="18" max="18" width="34.81640625" style="1" customWidth="1"/>
    <col min="19" max="16384" width="8.7265625" style="1"/>
  </cols>
  <sheetData>
    <row r="1" spans="2:16" s="42" customFormat="1" ht="35.5" customHeight="1" thickBot="1" x14ac:dyDescent="0.45">
      <c r="B1" s="269" t="s">
        <v>151</v>
      </c>
      <c r="C1" s="268"/>
      <c r="D1" s="268"/>
      <c r="E1" s="268"/>
      <c r="F1" s="268"/>
      <c r="G1" s="266"/>
      <c r="H1" s="267"/>
      <c r="I1" s="265"/>
      <c r="K1" s="265"/>
      <c r="L1" s="265"/>
      <c r="M1" s="105" t="s">
        <v>101</v>
      </c>
      <c r="N1" s="103"/>
      <c r="P1" s="108"/>
    </row>
    <row r="2" spans="2:16" ht="18.5" customHeight="1" thickBot="1" x14ac:dyDescent="0.35">
      <c r="G2" s="272"/>
      <c r="H2" s="2"/>
      <c r="I2" s="2"/>
      <c r="L2" s="107"/>
      <c r="M2" s="99"/>
      <c r="N2" s="1" t="s">
        <v>99</v>
      </c>
    </row>
    <row r="3" spans="2:16" ht="18.5" customHeight="1" thickBot="1" x14ac:dyDescent="0.5">
      <c r="C3" s="344" t="s">
        <v>38</v>
      </c>
      <c r="D3" s="345"/>
      <c r="E3" s="91"/>
      <c r="F3" s="92"/>
      <c r="G3" s="93"/>
      <c r="H3" s="92"/>
      <c r="I3" s="14"/>
      <c r="M3" s="100"/>
      <c r="N3" s="14" t="s">
        <v>100</v>
      </c>
      <c r="P3" s="14"/>
    </row>
    <row r="4" spans="2:16" ht="18.5" customHeight="1" x14ac:dyDescent="0.45">
      <c r="C4" s="332" t="s">
        <v>39</v>
      </c>
      <c r="D4" s="340" t="str">
        <f>'Site Base Data'!C4</f>
        <v>103rd</v>
      </c>
      <c r="E4" s="35"/>
      <c r="F4" s="17"/>
      <c r="G4" s="66"/>
      <c r="H4" s="17"/>
      <c r="I4" s="14"/>
      <c r="M4" s="273"/>
      <c r="N4" s="14"/>
      <c r="P4" s="14"/>
    </row>
    <row r="5" spans="2:16" s="2" customFormat="1" ht="18.5" customHeight="1" x14ac:dyDescent="0.3">
      <c r="C5" s="334" t="s">
        <v>40</v>
      </c>
      <c r="D5" s="341" t="str">
        <f>'Site Base Data'!C5</f>
        <v>103rd &amp; Harvard</v>
      </c>
      <c r="E5" s="81"/>
      <c r="F5" s="81"/>
      <c r="G5" s="81"/>
      <c r="H5" s="81"/>
      <c r="I5" s="14"/>
      <c r="M5" s="14"/>
      <c r="N5" s="14"/>
      <c r="P5" s="14"/>
    </row>
    <row r="6" spans="2:16" ht="18.5" customHeight="1" thickBot="1" x14ac:dyDescent="0.35">
      <c r="C6" s="336" t="s">
        <v>2</v>
      </c>
      <c r="D6" s="342">
        <f>'Site Base Data'!C6</f>
        <v>2</v>
      </c>
      <c r="E6" s="85"/>
      <c r="F6" s="82"/>
      <c r="G6" s="82"/>
      <c r="M6" s="92"/>
      <c r="N6" s="14"/>
      <c r="P6" s="14"/>
    </row>
    <row r="7" spans="2:16" ht="17" customHeight="1" thickBot="1" x14ac:dyDescent="0.35">
      <c r="O7" s="279"/>
    </row>
    <row r="8" spans="2:16" ht="27.5" customHeight="1" thickBot="1" x14ac:dyDescent="0.35">
      <c r="K8" s="394" t="s">
        <v>133</v>
      </c>
      <c r="L8" s="395"/>
      <c r="M8" s="395"/>
      <c r="N8" s="396"/>
      <c r="O8" s="23"/>
    </row>
    <row r="9" spans="2:16" ht="18" customHeight="1" x14ac:dyDescent="0.3">
      <c r="K9" s="411"/>
      <c r="L9" s="412"/>
      <c r="M9" s="412"/>
      <c r="N9" s="327" t="s">
        <v>113</v>
      </c>
      <c r="O9" s="291"/>
    </row>
    <row r="10" spans="2:16" ht="17" customHeight="1" x14ac:dyDescent="0.3">
      <c r="K10" s="413" t="s">
        <v>54</v>
      </c>
      <c r="L10" s="414"/>
      <c r="M10" s="414"/>
      <c r="N10" s="328">
        <f>'Site Base Data'!D9</f>
        <v>28755</v>
      </c>
      <c r="O10" s="291"/>
    </row>
    <row r="11" spans="2:16" ht="17" customHeight="1" x14ac:dyDescent="0.3">
      <c r="K11" s="401" t="s">
        <v>86</v>
      </c>
      <c r="L11" s="402"/>
      <c r="M11" s="402"/>
      <c r="N11" s="329">
        <f>SUM(M23:N23)</f>
        <v>33.311999999999998</v>
      </c>
      <c r="O11" s="291"/>
    </row>
    <row r="12" spans="2:16" ht="17" customHeight="1" x14ac:dyDescent="0.3">
      <c r="K12" s="401" t="s">
        <v>36</v>
      </c>
      <c r="L12" s="402"/>
      <c r="M12" s="402"/>
      <c r="N12" s="329">
        <f>SUM(M24:N24)</f>
        <v>27</v>
      </c>
      <c r="O12" s="291"/>
    </row>
    <row r="13" spans="2:16" ht="17" customHeight="1" x14ac:dyDescent="0.3">
      <c r="K13" s="401" t="s">
        <v>37</v>
      </c>
      <c r="L13" s="402"/>
      <c r="M13" s="402"/>
      <c r="N13" s="329">
        <f>SUM(M25:N25)</f>
        <v>1630</v>
      </c>
      <c r="O13" s="291"/>
    </row>
    <row r="14" spans="2:16" ht="17" customHeight="1" x14ac:dyDescent="0.3">
      <c r="K14" s="401" t="s">
        <v>44</v>
      </c>
      <c r="L14" s="402"/>
      <c r="M14" s="402"/>
      <c r="N14" s="329">
        <f>SUM(M26:N26)</f>
        <v>40275</v>
      </c>
      <c r="O14" s="291"/>
    </row>
    <row r="15" spans="2:16" ht="17" customHeight="1" thickBot="1" x14ac:dyDescent="0.35">
      <c r="K15" s="415" t="s">
        <v>90</v>
      </c>
      <c r="L15" s="416"/>
      <c r="M15" s="416"/>
      <c r="N15" s="330">
        <f>SUM(M27:N27)</f>
        <v>56885</v>
      </c>
      <c r="O15" s="166"/>
    </row>
    <row r="16" spans="2:16" ht="17" customHeight="1" x14ac:dyDescent="0.3">
      <c r="H16" s="112"/>
      <c r="I16" s="112"/>
      <c r="J16" s="165"/>
      <c r="O16" s="166"/>
    </row>
    <row r="17" spans="8:15" ht="17" customHeight="1" thickBot="1" x14ac:dyDescent="0.35">
      <c r="H17" s="112"/>
      <c r="I17" s="112"/>
      <c r="J17" s="165"/>
      <c r="O17" s="163"/>
    </row>
    <row r="18" spans="8:15" ht="28" customHeight="1" thickBot="1" x14ac:dyDescent="0.35">
      <c r="J18" s="165"/>
      <c r="K18" s="394" t="s">
        <v>89</v>
      </c>
      <c r="L18" s="395"/>
      <c r="M18" s="395"/>
      <c r="N18" s="396"/>
      <c r="O18" s="166"/>
    </row>
    <row r="19" spans="8:15" ht="24" customHeight="1" thickBot="1" x14ac:dyDescent="0.35">
      <c r="J19" s="165"/>
      <c r="K19" s="409"/>
      <c r="L19" s="410"/>
      <c r="M19" s="313" t="s">
        <v>72</v>
      </c>
      <c r="N19" s="312" t="s">
        <v>73</v>
      </c>
      <c r="O19" s="166"/>
    </row>
    <row r="20" spans="8:15" ht="33.5" customHeight="1" x14ac:dyDescent="0.3">
      <c r="J20" s="165"/>
      <c r="K20" s="407" t="s">
        <v>35</v>
      </c>
      <c r="L20" s="408"/>
      <c r="M20" s="310" t="str">
        <f>'Site Base Data'!E11</f>
        <v>Multi-family, 
Retail</v>
      </c>
      <c r="N20" s="311" t="str">
        <f>'Site Base Data'!F11</f>
        <v>Residential, Townhouses</v>
      </c>
      <c r="O20" s="166"/>
    </row>
    <row r="21" spans="8:15" ht="17" customHeight="1" x14ac:dyDescent="0.3">
      <c r="J21" s="165"/>
      <c r="K21" s="401" t="s">
        <v>45</v>
      </c>
      <c r="L21" s="402"/>
      <c r="M21" s="308">
        <f>'Site Base Data'!E$21</f>
        <v>4</v>
      </c>
      <c r="N21" s="101">
        <f>'Site Base Data'!F$21</f>
        <v>3</v>
      </c>
      <c r="O21" s="166"/>
    </row>
    <row r="22" spans="8:15" ht="17" customHeight="1" x14ac:dyDescent="0.3">
      <c r="J22" s="165"/>
      <c r="K22" s="401" t="s">
        <v>54</v>
      </c>
      <c r="L22" s="402"/>
      <c r="M22" s="309">
        <f>'Site Base Data'!E$9</f>
        <v>7620</v>
      </c>
      <c r="N22" s="102">
        <f>'Site Base Data'!F$9</f>
        <v>21135</v>
      </c>
      <c r="O22" s="166"/>
    </row>
    <row r="23" spans="8:15" ht="17" customHeight="1" x14ac:dyDescent="0.3">
      <c r="J23" s="165"/>
      <c r="K23" s="403" t="s">
        <v>86</v>
      </c>
      <c r="L23" s="404"/>
      <c r="M23" s="309">
        <f>'Site Base Data'!E$23</f>
        <v>15.311999999999999</v>
      </c>
      <c r="N23" s="102">
        <f>'Site Base Data'!F$23</f>
        <v>18</v>
      </c>
      <c r="O23" s="166"/>
    </row>
    <row r="24" spans="8:15" ht="17" customHeight="1" x14ac:dyDescent="0.3">
      <c r="J24" s="165"/>
      <c r="K24" s="403" t="s">
        <v>36</v>
      </c>
      <c r="L24" s="404"/>
      <c r="M24" s="308">
        <f>'Site Base Data'!E$25</f>
        <v>9</v>
      </c>
      <c r="N24" s="101">
        <f>'Site Base Data'!F$25</f>
        <v>18</v>
      </c>
      <c r="O24" s="166"/>
    </row>
    <row r="25" spans="8:15" ht="17" customHeight="1" x14ac:dyDescent="0.3">
      <c r="J25" s="165"/>
      <c r="K25" s="403" t="s">
        <v>37</v>
      </c>
      <c r="L25" s="404"/>
      <c r="M25" s="309">
        <f>'Site Base Data'!E14</f>
        <v>1630</v>
      </c>
      <c r="N25" s="102">
        <f>'Site Base Data'!F14</f>
        <v>0</v>
      </c>
      <c r="O25" s="166"/>
    </row>
    <row r="26" spans="8:15" ht="17" customHeight="1" thickBot="1" x14ac:dyDescent="0.35">
      <c r="J26" s="165"/>
      <c r="K26" s="417" t="s">
        <v>44</v>
      </c>
      <c r="L26" s="418"/>
      <c r="M26" s="323">
        <f>SUM('Site Base Data'!E17*'Site Base Data'!E18)+('Site Base Data'!E19*'Site Base Data'!E20)</f>
        <v>14355</v>
      </c>
      <c r="N26" s="324">
        <f>'Site Base Data'!F17*'Site Base Data'!F18</f>
        <v>25920</v>
      </c>
      <c r="O26" s="166"/>
    </row>
    <row r="27" spans="8:15" ht="17" customHeight="1" thickBot="1" x14ac:dyDescent="0.35">
      <c r="J27" s="165"/>
      <c r="K27" s="419" t="s">
        <v>41</v>
      </c>
      <c r="L27" s="420"/>
      <c r="M27" s="325">
        <f>'Site Base Data'!E22</f>
        <v>18005</v>
      </c>
      <c r="N27" s="326">
        <f>'Site Base Data'!F22</f>
        <v>38880</v>
      </c>
      <c r="O27" s="166"/>
    </row>
    <row r="28" spans="8:15" ht="17" customHeight="1" x14ac:dyDescent="0.3">
      <c r="H28" s="112"/>
      <c r="I28" s="112"/>
      <c r="J28" s="165"/>
      <c r="K28" s="307"/>
      <c r="L28" s="65"/>
      <c r="M28" s="166"/>
      <c r="N28" s="166"/>
      <c r="O28" s="166"/>
    </row>
    <row r="29" spans="8:15" ht="17" customHeight="1" thickBot="1" x14ac:dyDescent="0.35">
      <c r="H29" s="112"/>
      <c r="I29" s="112"/>
      <c r="J29" s="165"/>
      <c r="K29" s="12"/>
      <c r="M29" s="166"/>
      <c r="N29" s="166"/>
      <c r="O29" s="166"/>
    </row>
    <row r="30" spans="8:15" ht="28" customHeight="1" thickBot="1" x14ac:dyDescent="0.35">
      <c r="H30" s="112"/>
      <c r="I30" s="112"/>
      <c r="J30" s="165"/>
      <c r="K30" s="394" t="s">
        <v>93</v>
      </c>
      <c r="L30" s="395"/>
      <c r="M30" s="395"/>
      <c r="N30" s="396"/>
      <c r="O30" s="166"/>
    </row>
    <row r="31" spans="8:15" ht="17" customHeight="1" thickBot="1" x14ac:dyDescent="0.35">
      <c r="J31" s="165"/>
      <c r="K31" s="405"/>
      <c r="L31" s="406"/>
      <c r="M31" s="406"/>
      <c r="N31" s="316" t="s">
        <v>23</v>
      </c>
      <c r="O31" s="166"/>
    </row>
    <row r="32" spans="8:15" ht="17" customHeight="1" x14ac:dyDescent="0.3">
      <c r="J32" s="165"/>
      <c r="K32" s="401" t="s">
        <v>88</v>
      </c>
      <c r="L32" s="402"/>
      <c r="M32" s="402"/>
      <c r="N32" s="318" t="str">
        <f>'Sources Uses'!I13</f>
        <v>TBD</v>
      </c>
      <c r="O32" s="166"/>
    </row>
    <row r="33" spans="3:15" ht="17" customHeight="1" x14ac:dyDescent="0.3">
      <c r="J33" s="165"/>
      <c r="K33" s="401" t="s">
        <v>87</v>
      </c>
      <c r="L33" s="402"/>
      <c r="M33" s="402"/>
      <c r="N33" s="354" t="str">
        <f>'Sources Uses'!I17</f>
        <v>TBD</v>
      </c>
      <c r="O33" s="166"/>
    </row>
    <row r="34" spans="3:15" ht="17" customHeight="1" x14ac:dyDescent="0.3">
      <c r="J34" s="165"/>
      <c r="K34" s="403" t="s">
        <v>141</v>
      </c>
      <c r="L34" s="404"/>
      <c r="M34" s="404"/>
      <c r="N34" s="167">
        <f>SUM('Sources Uses'!I18+'Sources Uses'!I19)</f>
        <v>45000</v>
      </c>
      <c r="O34" s="166"/>
    </row>
    <row r="35" spans="3:15" ht="17" customHeight="1" x14ac:dyDescent="0.3">
      <c r="J35" s="165"/>
      <c r="K35" s="403" t="s">
        <v>142</v>
      </c>
      <c r="L35" s="404"/>
      <c r="M35" s="404"/>
      <c r="N35" s="167">
        <f>SUM('Sources Uses'!I22+'Sources Uses'!I23+'Sources Uses'!I24)</f>
        <v>131375</v>
      </c>
      <c r="O35" s="166"/>
    </row>
    <row r="36" spans="3:15" ht="17" customHeight="1" x14ac:dyDescent="0.3">
      <c r="J36" s="165"/>
      <c r="K36" s="401" t="s">
        <v>118</v>
      </c>
      <c r="L36" s="402"/>
      <c r="M36" s="402"/>
      <c r="N36" s="167">
        <f>SUM('Sources Uses'!I21)</f>
        <v>431325</v>
      </c>
      <c r="O36" s="166"/>
    </row>
    <row r="37" spans="3:15" ht="17" customHeight="1" x14ac:dyDescent="0.3">
      <c r="J37" s="165"/>
      <c r="K37" s="401" t="s">
        <v>98</v>
      </c>
      <c r="L37" s="402"/>
      <c r="M37" s="402"/>
      <c r="N37" s="314">
        <f>'Sources Uses'!I35</f>
        <v>141600</v>
      </c>
      <c r="O37" s="166"/>
    </row>
    <row r="38" spans="3:15" ht="17" customHeight="1" thickBot="1" x14ac:dyDescent="0.35">
      <c r="J38" s="165"/>
      <c r="K38" s="392" t="s">
        <v>117</v>
      </c>
      <c r="L38" s="393"/>
      <c r="M38" s="393"/>
      <c r="N38" s="317">
        <f>'Sources Uses'!I45</f>
        <v>291200</v>
      </c>
      <c r="O38" s="166"/>
    </row>
    <row r="39" spans="3:15" ht="17" customHeight="1" thickBot="1" x14ac:dyDescent="0.35">
      <c r="J39" s="165"/>
      <c r="K39" s="397" t="s">
        <v>91</v>
      </c>
      <c r="L39" s="398"/>
      <c r="M39" s="399"/>
      <c r="N39" s="315">
        <f>'Sources Uses'!I47</f>
        <v>1040500</v>
      </c>
      <c r="O39" s="166"/>
    </row>
    <row r="40" spans="3:15" ht="17" customHeight="1" x14ac:dyDescent="0.3">
      <c r="J40" s="165"/>
      <c r="M40" s="112"/>
      <c r="N40" s="112"/>
      <c r="O40" s="166"/>
    </row>
    <row r="41" spans="3:15" ht="17" customHeight="1" x14ac:dyDescent="0.3">
      <c r="I41" s="43"/>
      <c r="J41" s="1"/>
    </row>
    <row r="42" spans="3:15" ht="24.5" customHeight="1" x14ac:dyDescent="0.3">
      <c r="G42" s="295" t="s">
        <v>134</v>
      </c>
      <c r="H42" s="295"/>
      <c r="I42" s="295"/>
      <c r="J42" s="90"/>
      <c r="K42" s="90"/>
      <c r="L42" s="90"/>
      <c r="M42" s="90"/>
      <c r="N42" s="90"/>
    </row>
    <row r="43" spans="3:15" ht="17" customHeight="1" thickBot="1" x14ac:dyDescent="0.35">
      <c r="C43" s="40"/>
      <c r="J43" s="40"/>
      <c r="O43" s="4"/>
    </row>
    <row r="44" spans="3:15" ht="28" customHeight="1" thickBot="1" x14ac:dyDescent="0.35">
      <c r="C44" s="2"/>
      <c r="G44" s="331" t="s">
        <v>108</v>
      </c>
      <c r="H44" s="296"/>
      <c r="I44" s="297"/>
      <c r="J44" s="2"/>
      <c r="K44" s="331" t="s">
        <v>92</v>
      </c>
      <c r="L44" s="296"/>
      <c r="M44" s="296"/>
      <c r="N44" s="297"/>
      <c r="O44" s="4"/>
    </row>
    <row r="45" spans="3:15" ht="17" customHeight="1" x14ac:dyDescent="0.3">
      <c r="C45" s="2"/>
      <c r="G45" s="305"/>
      <c r="H45" s="3"/>
      <c r="I45" s="306"/>
      <c r="J45" s="1"/>
      <c r="K45" s="46"/>
      <c r="L45" s="47"/>
      <c r="M45" s="47"/>
      <c r="N45" s="48"/>
      <c r="O45" s="4"/>
    </row>
    <row r="46" spans="3:15" ht="17" customHeight="1" x14ac:dyDescent="0.3">
      <c r="G46" s="44" t="s">
        <v>42</v>
      </c>
      <c r="H46" s="300">
        <f>'Sources Uses'!M53</f>
        <v>0.15</v>
      </c>
      <c r="I46" s="94">
        <f>'Sources Uses'!Q53</f>
        <v>1670160</v>
      </c>
      <c r="J46" s="1"/>
      <c r="K46" s="44"/>
      <c r="L46" s="49" t="s">
        <v>0</v>
      </c>
      <c r="M46" s="49" t="s">
        <v>1</v>
      </c>
      <c r="N46" s="50" t="s">
        <v>23</v>
      </c>
      <c r="O46" s="4"/>
    </row>
    <row r="47" spans="3:15" ht="17" customHeight="1" x14ac:dyDescent="0.3">
      <c r="G47" s="45" t="s">
        <v>49</v>
      </c>
      <c r="H47" s="300">
        <f>'Sources Uses'!M54</f>
        <v>0.2</v>
      </c>
      <c r="I47" s="94">
        <f>'Sources Uses'!Q54</f>
        <v>2226880</v>
      </c>
      <c r="J47" s="1"/>
      <c r="K47" s="44" t="s">
        <v>46</v>
      </c>
      <c r="L47" s="96">
        <f>'Sources Uses'!O20</f>
        <v>18005</v>
      </c>
      <c r="M47" s="97">
        <f>'Sources Uses'!$M$20</f>
        <v>400</v>
      </c>
      <c r="N47" s="94">
        <f>'Sources Uses'!Q20</f>
        <v>7202000</v>
      </c>
      <c r="O47" s="4"/>
    </row>
    <row r="48" spans="3:15" ht="17" customHeight="1" thickBot="1" x14ac:dyDescent="0.35">
      <c r="G48" s="301" t="s">
        <v>43</v>
      </c>
      <c r="H48" s="302">
        <f>'Sources Uses'!M55</f>
        <v>0.65</v>
      </c>
      <c r="I48" s="94">
        <f>'Sources Uses'!Q55</f>
        <v>7237360</v>
      </c>
      <c r="J48" s="1"/>
      <c r="K48" s="45" t="s">
        <v>96</v>
      </c>
      <c r="L48" s="96">
        <f>'Sources Uses'!O21</f>
        <v>890</v>
      </c>
      <c r="M48" s="97">
        <f>'Sources Uses'!$M$21</f>
        <v>25</v>
      </c>
      <c r="N48" s="94">
        <f>'Sources Uses'!Q21</f>
        <v>22250</v>
      </c>
      <c r="O48" s="4"/>
    </row>
    <row r="49" spans="7:15" ht="17" customHeight="1" thickBot="1" x14ac:dyDescent="0.35">
      <c r="G49" s="303" t="s">
        <v>145</v>
      </c>
      <c r="H49" s="304"/>
      <c r="I49" s="321">
        <f>'Sources Uses'!Q51</f>
        <v>11134400</v>
      </c>
      <c r="J49" s="1"/>
      <c r="K49" s="45" t="s">
        <v>136</v>
      </c>
      <c r="L49" s="278"/>
      <c r="M49" s="51"/>
      <c r="N49" s="94">
        <f>'Sources Uses'!Q18+'Sources Uses'!Q19</f>
        <v>35000</v>
      </c>
      <c r="O49" s="4"/>
    </row>
    <row r="50" spans="7:15" ht="17" customHeight="1" x14ac:dyDescent="0.3">
      <c r="G50" s="4"/>
      <c r="I50" s="161"/>
      <c r="J50" s="1"/>
      <c r="K50" s="45" t="s">
        <v>97</v>
      </c>
      <c r="L50" s="52"/>
      <c r="M50" s="51"/>
      <c r="N50" s="94">
        <f>'Sources Uses'!Q22+'Sources Uses'!Q23+'Sources Uses'!Q24</f>
        <v>69225</v>
      </c>
      <c r="O50" s="4"/>
    </row>
    <row r="51" spans="7:15" ht="17" customHeight="1" x14ac:dyDescent="0.3">
      <c r="G51" s="273"/>
      <c r="I51" s="273"/>
      <c r="J51" s="1"/>
      <c r="K51" s="45" t="s">
        <v>98</v>
      </c>
      <c r="L51" s="3"/>
      <c r="M51" s="53"/>
      <c r="N51" s="94">
        <f>'Sources Uses'!Q35</f>
        <v>1707500</v>
      </c>
      <c r="O51" s="4"/>
    </row>
    <row r="52" spans="7:15" ht="17" customHeight="1" x14ac:dyDescent="0.3">
      <c r="G52" s="298"/>
      <c r="I52" s="62"/>
      <c r="J52" s="2"/>
      <c r="K52" s="45" t="s">
        <v>94</v>
      </c>
      <c r="L52" s="55"/>
      <c r="M52" s="56"/>
      <c r="N52" s="95">
        <f>'Sources Uses'!Q36</f>
        <v>9036000</v>
      </c>
      <c r="O52" s="4"/>
    </row>
    <row r="53" spans="7:15" ht="17" customHeight="1" x14ac:dyDescent="0.3">
      <c r="G53" s="4"/>
      <c r="I53" s="43"/>
      <c r="J53" s="2"/>
      <c r="K53" s="45"/>
      <c r="L53" s="55"/>
      <c r="M53" s="56"/>
      <c r="N53" s="57"/>
      <c r="O53" s="4"/>
    </row>
    <row r="54" spans="7:15" ht="17" customHeight="1" x14ac:dyDescent="0.3">
      <c r="G54" s="4"/>
      <c r="I54" s="62"/>
      <c r="J54" s="1"/>
      <c r="K54" s="45" t="s">
        <v>95</v>
      </c>
      <c r="L54" s="55"/>
      <c r="M54" s="56"/>
      <c r="N54" s="95">
        <f>'Sources Uses'!Q45</f>
        <v>2098400</v>
      </c>
      <c r="O54" s="4"/>
    </row>
    <row r="55" spans="7:15" ht="17" customHeight="1" x14ac:dyDescent="0.3">
      <c r="G55" s="4"/>
      <c r="I55" s="161"/>
      <c r="J55" s="1"/>
      <c r="K55" s="45"/>
      <c r="L55" s="55"/>
      <c r="M55" s="56"/>
      <c r="N55" s="57"/>
      <c r="O55" s="4"/>
    </row>
    <row r="56" spans="7:15" ht="17" customHeight="1" thickBot="1" x14ac:dyDescent="0.35">
      <c r="I56" s="43"/>
      <c r="J56" s="1"/>
      <c r="K56" s="54" t="s">
        <v>144</v>
      </c>
      <c r="L56" s="58"/>
      <c r="M56" s="59"/>
      <c r="N56" s="98">
        <f>'Sources Uses'!Q47</f>
        <v>11134400</v>
      </c>
      <c r="O56" s="4"/>
    </row>
    <row r="57" spans="7:15" ht="17" customHeight="1" x14ac:dyDescent="0.3">
      <c r="I57" s="43"/>
      <c r="J57" s="1"/>
      <c r="K57" s="12"/>
      <c r="L57" s="60"/>
      <c r="M57" s="61"/>
      <c r="N57" s="343"/>
      <c r="O57" s="4"/>
    </row>
    <row r="58" spans="7:15" ht="17" customHeight="1" x14ac:dyDescent="0.3">
      <c r="G58" s="3"/>
      <c r="I58" s="15"/>
      <c r="J58" s="1"/>
      <c r="O58" s="4"/>
    </row>
    <row r="59" spans="7:15" ht="23.5" customHeight="1" x14ac:dyDescent="0.3">
      <c r="G59" s="400" t="s">
        <v>135</v>
      </c>
      <c r="H59" s="400"/>
      <c r="I59" s="400"/>
      <c r="J59" s="400"/>
      <c r="K59" s="400"/>
      <c r="L59" s="400"/>
      <c r="M59" s="400"/>
      <c r="N59" s="400"/>
      <c r="O59" s="4"/>
    </row>
    <row r="60" spans="7:15" ht="17" customHeight="1" thickBot="1" x14ac:dyDescent="0.35">
      <c r="G60" s="2"/>
      <c r="H60" s="2"/>
      <c r="I60" s="79"/>
      <c r="J60" s="40"/>
      <c r="O60" s="4"/>
    </row>
    <row r="61" spans="7:15" ht="28" customHeight="1" thickBot="1" x14ac:dyDescent="0.35">
      <c r="G61" s="331" t="s">
        <v>108</v>
      </c>
      <c r="H61" s="319"/>
      <c r="I61" s="320"/>
      <c r="J61" s="2"/>
      <c r="K61" s="331" t="s">
        <v>92</v>
      </c>
      <c r="L61" s="296"/>
      <c r="M61" s="296"/>
      <c r="N61" s="297"/>
      <c r="O61" s="4"/>
    </row>
    <row r="62" spans="7:15" ht="17" customHeight="1" x14ac:dyDescent="0.3">
      <c r="G62" s="305"/>
      <c r="H62" s="3"/>
      <c r="I62" s="306"/>
      <c r="J62" s="1"/>
      <c r="K62" s="46"/>
      <c r="L62" s="47"/>
      <c r="M62" s="47"/>
      <c r="N62" s="48"/>
      <c r="O62" s="4"/>
    </row>
    <row r="63" spans="7:15" ht="17" customHeight="1" x14ac:dyDescent="0.3">
      <c r="G63" s="44" t="s">
        <v>42</v>
      </c>
      <c r="H63" s="300">
        <f>'Sources Uses'!U53</f>
        <v>0.15</v>
      </c>
      <c r="I63" s="322">
        <f>'Sources Uses'!Y53</f>
        <v>3552720</v>
      </c>
      <c r="J63" s="1"/>
      <c r="K63" s="44"/>
      <c r="L63" s="49" t="s">
        <v>0</v>
      </c>
      <c r="M63" s="49" t="s">
        <v>1</v>
      </c>
      <c r="N63" s="50" t="s">
        <v>23</v>
      </c>
      <c r="O63" s="4"/>
    </row>
    <row r="64" spans="7:15" ht="17" customHeight="1" x14ac:dyDescent="0.3">
      <c r="G64" s="45" t="s">
        <v>49</v>
      </c>
      <c r="H64" s="300">
        <f>'Sources Uses'!U54</f>
        <v>0.2</v>
      </c>
      <c r="I64" s="322">
        <f>'Sources Uses'!Y54</f>
        <v>4736960</v>
      </c>
      <c r="J64" s="1"/>
      <c r="K64" s="44" t="s">
        <v>46</v>
      </c>
      <c r="L64" s="96">
        <f>'Sources Uses'!W$20</f>
        <v>38880</v>
      </c>
      <c r="M64" s="97">
        <f>'Sources Uses'!$U20</f>
        <v>400</v>
      </c>
      <c r="N64" s="94">
        <f>'Sources Uses'!Y$20</f>
        <v>15552000</v>
      </c>
      <c r="O64" s="4"/>
    </row>
    <row r="65" spans="4:15" ht="17" customHeight="1" thickBot="1" x14ac:dyDescent="0.35">
      <c r="G65" s="301" t="s">
        <v>43</v>
      </c>
      <c r="H65" s="300">
        <f>'Sources Uses'!U55</f>
        <v>0.65</v>
      </c>
      <c r="I65" s="322">
        <f>'Sources Uses'!Y55</f>
        <v>15395120</v>
      </c>
      <c r="J65" s="1"/>
      <c r="K65" s="45" t="s">
        <v>96</v>
      </c>
      <c r="L65" s="96">
        <f>'Sources Uses'!W$21</f>
        <v>8175</v>
      </c>
      <c r="M65" s="97">
        <f>'Sources Uses'!$U21</f>
        <v>25</v>
      </c>
      <c r="N65" s="94">
        <f>'Sources Uses'!Y$21</f>
        <v>204375</v>
      </c>
      <c r="O65" s="4"/>
    </row>
    <row r="66" spans="4:15" ht="17" customHeight="1" thickBot="1" x14ac:dyDescent="0.35">
      <c r="G66" s="351" t="s">
        <v>145</v>
      </c>
      <c r="H66" s="352"/>
      <c r="I66" s="321">
        <f>'Sources Uses'!Y51</f>
        <v>23684800</v>
      </c>
      <c r="J66" s="1"/>
      <c r="K66" s="45" t="s">
        <v>136</v>
      </c>
      <c r="L66" s="278"/>
      <c r="M66" s="51"/>
      <c r="N66" s="94">
        <f>'Sources Uses'!Y18+'Sources Uses'!Y19</f>
        <v>25000</v>
      </c>
      <c r="O66" s="4"/>
    </row>
    <row r="67" spans="4:15" ht="17" customHeight="1" x14ac:dyDescent="0.3">
      <c r="J67" s="1"/>
      <c r="K67" s="45" t="s">
        <v>97</v>
      </c>
      <c r="L67" s="52"/>
      <c r="M67" s="51"/>
      <c r="N67" s="94">
        <f>'Sources Uses'!Y$22+'Sources Uses'!Y$23+'Sources Uses'!Y$24</f>
        <v>483650</v>
      </c>
      <c r="O67" s="4"/>
    </row>
    <row r="68" spans="4:15" ht="17" customHeight="1" x14ac:dyDescent="0.3">
      <c r="J68" s="1"/>
      <c r="K68" s="45" t="s">
        <v>98</v>
      </c>
      <c r="L68" s="3"/>
      <c r="M68" s="53"/>
      <c r="N68" s="94">
        <f>'Sources Uses'!Y35</f>
        <v>3789700</v>
      </c>
      <c r="O68" s="4"/>
    </row>
    <row r="69" spans="4:15" ht="17" customHeight="1" x14ac:dyDescent="0.3">
      <c r="J69" s="2"/>
      <c r="K69" s="45" t="s">
        <v>94</v>
      </c>
      <c r="L69" s="55"/>
      <c r="M69" s="56"/>
      <c r="N69" s="95">
        <f>'Sources Uses'!Y36</f>
        <v>20054700</v>
      </c>
      <c r="O69" s="4"/>
    </row>
    <row r="70" spans="4:15" ht="17" customHeight="1" x14ac:dyDescent="0.3">
      <c r="J70" s="2"/>
      <c r="K70" s="45"/>
      <c r="L70" s="55"/>
      <c r="M70" s="56"/>
      <c r="N70" s="57"/>
      <c r="O70" s="4"/>
    </row>
    <row r="71" spans="4:15" ht="17" customHeight="1" x14ac:dyDescent="0.3">
      <c r="J71" s="1"/>
      <c r="K71" s="45" t="s">
        <v>95</v>
      </c>
      <c r="L71" s="55"/>
      <c r="M71" s="56"/>
      <c r="N71" s="95">
        <f>'Sources Uses'!Y$45</f>
        <v>3630100</v>
      </c>
      <c r="O71" s="4"/>
    </row>
    <row r="72" spans="4:15" ht="17" customHeight="1" x14ac:dyDescent="0.3">
      <c r="J72" s="1"/>
      <c r="K72" s="45"/>
      <c r="L72" s="55"/>
      <c r="M72" s="56"/>
      <c r="N72" s="57"/>
      <c r="O72" s="4"/>
    </row>
    <row r="73" spans="4:15" ht="17" customHeight="1" thickBot="1" x14ac:dyDescent="0.35">
      <c r="D73" s="12"/>
      <c r="E73" s="60"/>
      <c r="F73" s="61"/>
      <c r="H73" s="3"/>
      <c r="I73" s="62"/>
      <c r="J73" s="1"/>
      <c r="K73" s="54" t="s">
        <v>144</v>
      </c>
      <c r="L73" s="58"/>
      <c r="M73" s="59"/>
      <c r="N73" s="98">
        <f>'Sources Uses'!Y$47</f>
        <v>23684800</v>
      </c>
      <c r="O73" s="4"/>
    </row>
    <row r="74" spans="4:15" ht="17" customHeight="1" x14ac:dyDescent="0.3">
      <c r="D74" s="12"/>
      <c r="E74" s="60"/>
      <c r="F74" s="61"/>
      <c r="G74" s="61"/>
      <c r="I74" s="3"/>
      <c r="J74" s="62"/>
      <c r="L74" s="63"/>
      <c r="M74" s="64"/>
      <c r="N74" s="64"/>
    </row>
    <row r="75" spans="4:15" ht="17" customHeight="1" x14ac:dyDescent="0.3"/>
    <row r="76" spans="4:15" ht="17" customHeight="1" x14ac:dyDescent="0.3"/>
    <row r="77" spans="4:15" ht="17" customHeight="1" x14ac:dyDescent="0.3"/>
  </sheetData>
  <mergeCells count="29">
    <mergeCell ref="K23:L23"/>
    <mergeCell ref="K24:L24"/>
    <mergeCell ref="K25:L25"/>
    <mergeCell ref="K26:L26"/>
    <mergeCell ref="K27:L27"/>
    <mergeCell ref="K8:N8"/>
    <mergeCell ref="K18:N18"/>
    <mergeCell ref="K20:L20"/>
    <mergeCell ref="K21:L21"/>
    <mergeCell ref="K22:L22"/>
    <mergeCell ref="K19:L19"/>
    <mergeCell ref="K9:M9"/>
    <mergeCell ref="K10:M10"/>
    <mergeCell ref="K11:M11"/>
    <mergeCell ref="K12:M12"/>
    <mergeCell ref="K13:M13"/>
    <mergeCell ref="K14:M14"/>
    <mergeCell ref="K15:M15"/>
    <mergeCell ref="K38:M38"/>
    <mergeCell ref="K30:N30"/>
    <mergeCell ref="K39:M39"/>
    <mergeCell ref="G59:N59"/>
    <mergeCell ref="K33:M33"/>
    <mergeCell ref="K34:M34"/>
    <mergeCell ref="K35:M35"/>
    <mergeCell ref="K36:M36"/>
    <mergeCell ref="K37:M37"/>
    <mergeCell ref="K31:M31"/>
    <mergeCell ref="K32:M32"/>
  </mergeCells>
  <pageMargins left="0.7" right="0.7" top="0.75" bottom="0.75" header="0.3" footer="0.3"/>
  <pageSetup scale="37" orientation="landscape" r:id="rId1"/>
  <headerFooter scaleWithDoc="0">
    <oddHeader>&amp;R&amp;G</oddHeader>
    <oddFooter xml:space="preserve">&amp;L&amp;G&amp;C&amp;9DRAFT - &amp;D&amp;R&amp;9Page &amp;P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6299-6E97-40E8-B8A0-6B2284262FB1}">
  <sheetPr>
    <tabColor theme="9" tint="0.39997558519241921"/>
    <pageSetUpPr fitToPage="1"/>
  </sheetPr>
  <dimension ref="A1:AC164"/>
  <sheetViews>
    <sheetView view="pageLayout" zoomScaleNormal="60" workbookViewId="0">
      <selection sqref="A1:XFD1"/>
    </sheetView>
  </sheetViews>
  <sheetFormatPr defaultColWidth="8.7265625" defaultRowHeight="14" outlineLevelRow="1" outlineLevelCol="1" x14ac:dyDescent="0.3"/>
  <cols>
    <col min="1" max="1" width="1.36328125" style="1" customWidth="1"/>
    <col min="2" max="2" width="13.453125" style="1" customWidth="1"/>
    <col min="3" max="3" width="39.81640625" style="225" customWidth="1"/>
    <col min="4" max="4" width="1.1796875" style="2" customWidth="1"/>
    <col min="5" max="5" width="9.36328125" style="180" customWidth="1"/>
    <col min="6" max="6" width="1.1796875" style="180" customWidth="1"/>
    <col min="7" max="7" width="8.36328125" style="251" customWidth="1"/>
    <col min="8" max="8" width="1.1796875" style="251" customWidth="1"/>
    <col min="9" max="9" width="14.453125" style="180" customWidth="1"/>
    <col min="10" max="10" width="1.1796875" style="1" customWidth="1" outlineLevel="1"/>
    <col min="11" max="11" width="36.6328125" style="179" customWidth="1" outlineLevel="1"/>
    <col min="12" max="12" width="4.1796875" style="33" customWidth="1"/>
    <col min="13" max="13" width="9.36328125" style="180" customWidth="1"/>
    <col min="14" max="14" width="1.1796875" style="180" customWidth="1"/>
    <col min="15" max="15" width="8.36328125" style="180" customWidth="1"/>
    <col min="16" max="16" width="1.1796875" style="180" customWidth="1"/>
    <col min="17" max="17" width="14.453125" style="180" customWidth="1"/>
    <col min="18" max="18" width="1.1796875" style="2" customWidth="1" outlineLevel="1"/>
    <col min="19" max="19" width="28.453125" style="255" customWidth="1" outlineLevel="1"/>
    <col min="20" max="20" width="4.1796875" style="33" customWidth="1"/>
    <col min="21" max="21" width="9.36328125" style="180" customWidth="1"/>
    <col min="22" max="22" width="1.1796875" style="180" customWidth="1"/>
    <col min="23" max="23" width="8.36328125" style="180" customWidth="1"/>
    <col min="24" max="24" width="1.1796875" style="180" customWidth="1"/>
    <col min="25" max="25" width="14.453125" style="225" customWidth="1"/>
    <col min="26" max="26" width="1.1796875" style="1" customWidth="1" outlineLevel="1"/>
    <col min="27" max="27" width="28.36328125" style="39" customWidth="1" outlineLevel="1"/>
    <col min="28" max="28" width="4.36328125" style="3" customWidth="1"/>
    <col min="29" max="29" width="8.7265625" style="3"/>
    <col min="30" max="16384" width="8.7265625" style="1"/>
  </cols>
  <sheetData>
    <row r="1" spans="1:29" ht="33.5" customHeight="1" outlineLevel="1" thickBot="1" x14ac:dyDescent="0.35">
      <c r="A1" s="2"/>
      <c r="B1" s="269" t="s">
        <v>132</v>
      </c>
      <c r="C1" s="268"/>
      <c r="D1" s="268"/>
      <c r="E1" s="268"/>
      <c r="F1" s="268"/>
      <c r="G1" s="266"/>
      <c r="H1" s="266"/>
      <c r="I1" s="266"/>
      <c r="J1" s="267"/>
      <c r="K1" s="271"/>
      <c r="L1" s="4"/>
      <c r="M1" s="105" t="s">
        <v>101</v>
      </c>
      <c r="N1" s="104"/>
      <c r="O1" s="104"/>
      <c r="Y1" s="180"/>
      <c r="Z1" s="2"/>
      <c r="AA1" s="38"/>
    </row>
    <row r="2" spans="1:29" s="89" customFormat="1" ht="18" outlineLevel="1" x14ac:dyDescent="0.35">
      <c r="B2" s="347"/>
      <c r="C2" s="348"/>
      <c r="D2" s="41"/>
      <c r="E2" s="181"/>
      <c r="F2" s="181"/>
      <c r="G2" s="181"/>
      <c r="H2" s="181"/>
      <c r="I2" s="181"/>
      <c r="J2" s="41"/>
      <c r="K2" s="272"/>
      <c r="M2" s="99"/>
      <c r="O2" s="1" t="s">
        <v>99</v>
      </c>
      <c r="P2" s="181"/>
      <c r="Q2" s="181"/>
      <c r="R2" s="41"/>
      <c r="S2" s="256"/>
      <c r="U2" s="181"/>
      <c r="V2" s="181"/>
      <c r="W2" s="181"/>
      <c r="X2" s="181"/>
      <c r="Y2" s="181"/>
      <c r="Z2" s="41"/>
      <c r="AA2" s="41"/>
    </row>
    <row r="3" spans="1:29" s="89" customFormat="1" ht="23" outlineLevel="1" thickBot="1" x14ac:dyDescent="0.5">
      <c r="B3" s="349" t="s">
        <v>38</v>
      </c>
      <c r="C3" s="350"/>
      <c r="D3" s="91"/>
      <c r="E3" s="92"/>
      <c r="F3" s="93"/>
      <c r="G3" s="92"/>
      <c r="H3" s="182"/>
      <c r="I3" s="182"/>
      <c r="J3" s="14"/>
      <c r="K3" s="168"/>
      <c r="L3" s="14"/>
      <c r="M3" s="100"/>
      <c r="O3" s="14" t="s">
        <v>100</v>
      </c>
      <c r="P3" s="182"/>
      <c r="Q3" s="182"/>
      <c r="R3" s="14"/>
      <c r="S3" s="257"/>
      <c r="T3" s="14"/>
      <c r="U3" s="182"/>
      <c r="V3" s="182"/>
      <c r="W3" s="182"/>
      <c r="X3" s="182"/>
      <c r="Y3" s="182"/>
      <c r="Z3" s="14"/>
      <c r="AA3" s="14"/>
      <c r="AB3" s="14"/>
    </row>
    <row r="4" spans="1:29" s="89" customFormat="1" ht="22.5" outlineLevel="1" x14ac:dyDescent="0.45">
      <c r="B4" s="332" t="s">
        <v>39</v>
      </c>
      <c r="C4" s="337" t="str">
        <f>'Site Base Data'!C4</f>
        <v>103rd</v>
      </c>
      <c r="D4" s="35"/>
      <c r="E4" s="92"/>
      <c r="F4" s="93"/>
      <c r="G4" s="92"/>
      <c r="H4" s="182"/>
      <c r="I4" s="183"/>
      <c r="J4" s="14"/>
      <c r="K4" s="168"/>
      <c r="L4" s="13"/>
      <c r="M4" s="273"/>
      <c r="O4" s="14"/>
      <c r="P4" s="182"/>
      <c r="Q4" s="183"/>
      <c r="R4" s="41"/>
      <c r="S4" s="256"/>
      <c r="U4" s="181"/>
      <c r="V4" s="181"/>
      <c r="W4" s="181"/>
      <c r="X4" s="181"/>
      <c r="Y4" s="181"/>
      <c r="Z4" s="41"/>
      <c r="AA4" s="41"/>
    </row>
    <row r="5" spans="1:29" s="89" customFormat="1" ht="15.5" outlineLevel="1" x14ac:dyDescent="0.35">
      <c r="B5" s="334" t="s">
        <v>40</v>
      </c>
      <c r="C5" s="338" t="str">
        <f>'Site Base Data'!C5</f>
        <v>103rd &amp; Harvard</v>
      </c>
      <c r="D5" s="81"/>
      <c r="E5" s="164"/>
      <c r="F5" s="164"/>
      <c r="G5" s="164"/>
      <c r="H5" s="182"/>
      <c r="I5" s="182"/>
      <c r="J5" s="14"/>
      <c r="K5" s="168"/>
      <c r="L5" s="14"/>
      <c r="M5" s="14"/>
      <c r="O5" s="14"/>
      <c r="P5" s="182"/>
      <c r="Q5" s="183"/>
      <c r="R5" s="41"/>
      <c r="S5" s="256"/>
      <c r="U5" s="181"/>
      <c r="V5" s="181"/>
      <c r="W5" s="181"/>
      <c r="X5" s="181"/>
      <c r="Y5" s="181"/>
      <c r="Z5" s="41"/>
      <c r="AA5" s="41"/>
    </row>
    <row r="6" spans="1:29" s="89" customFormat="1" ht="16" outlineLevel="1" thickBot="1" x14ac:dyDescent="0.4">
      <c r="B6" s="336" t="s">
        <v>2</v>
      </c>
      <c r="C6" s="339">
        <f>'Site Base Data'!C6</f>
        <v>2</v>
      </c>
      <c r="D6" s="85"/>
      <c r="E6" s="82"/>
      <c r="F6" s="82"/>
      <c r="G6" s="82"/>
      <c r="H6" s="226"/>
      <c r="I6" s="162"/>
      <c r="J6" s="86"/>
      <c r="K6" s="169"/>
      <c r="L6" s="86"/>
      <c r="M6" s="92"/>
      <c r="O6" s="14"/>
      <c r="P6" s="182"/>
      <c r="Q6" s="183"/>
      <c r="R6" s="41"/>
      <c r="S6" s="256"/>
      <c r="U6" s="181"/>
      <c r="V6" s="181"/>
      <c r="W6" s="181"/>
      <c r="X6" s="181"/>
      <c r="Y6" s="181"/>
      <c r="Z6" s="41"/>
      <c r="AA6" s="41"/>
    </row>
    <row r="7" spans="1:29" s="89" customFormat="1" ht="15.5" outlineLevel="1" x14ac:dyDescent="0.35">
      <c r="B7" s="88"/>
      <c r="C7" s="252"/>
      <c r="D7" s="32"/>
      <c r="E7" s="65"/>
      <c r="F7" s="225"/>
      <c r="G7" s="229"/>
      <c r="H7" s="182"/>
      <c r="I7" s="182"/>
      <c r="J7" s="14"/>
      <c r="K7" s="168"/>
      <c r="L7" s="14"/>
      <c r="M7" s="1"/>
      <c r="O7" s="1"/>
      <c r="P7" s="182"/>
      <c r="Q7" s="182"/>
      <c r="R7" s="41"/>
      <c r="S7" s="256"/>
      <c r="U7" s="181"/>
      <c r="V7" s="181"/>
      <c r="W7" s="181"/>
      <c r="X7" s="181"/>
      <c r="Y7" s="181"/>
      <c r="Z7" s="41"/>
      <c r="AA7" s="41"/>
    </row>
    <row r="8" spans="1:29" s="89" customFormat="1" ht="15.5" x14ac:dyDescent="0.35">
      <c r="C8" s="370"/>
      <c r="D8" s="41"/>
      <c r="E8" s="400" t="s">
        <v>125</v>
      </c>
      <c r="F8" s="400"/>
      <c r="G8" s="400"/>
      <c r="H8" s="422"/>
      <c r="I8" s="422"/>
      <c r="J8" s="422"/>
      <c r="K8" s="422"/>
      <c r="M8" s="421" t="s">
        <v>126</v>
      </c>
      <c r="N8" s="421"/>
      <c r="O8" s="421"/>
      <c r="P8" s="422"/>
      <c r="Q8" s="422"/>
      <c r="R8" s="422"/>
      <c r="S8" s="422"/>
      <c r="U8" s="421" t="s">
        <v>143</v>
      </c>
      <c r="V8" s="421"/>
      <c r="W8" s="421"/>
      <c r="X8" s="422"/>
      <c r="Y8" s="422"/>
      <c r="Z8" s="422"/>
      <c r="AA8" s="422"/>
    </row>
    <row r="9" spans="1:29" ht="15.5" x14ac:dyDescent="0.35">
      <c r="C9" s="371"/>
      <c r="D9" s="31"/>
      <c r="E9" s="426" t="s">
        <v>22</v>
      </c>
      <c r="F9" s="426"/>
      <c r="G9" s="426"/>
      <c r="H9" s="426"/>
      <c r="I9" s="426"/>
      <c r="J9" s="426"/>
      <c r="K9" s="426"/>
      <c r="M9" s="426" t="s">
        <v>22</v>
      </c>
      <c r="N9" s="426"/>
      <c r="O9" s="426"/>
      <c r="P9" s="426"/>
      <c r="Q9" s="426"/>
      <c r="R9" s="426"/>
      <c r="S9" s="426"/>
      <c r="U9" s="426" t="s">
        <v>22</v>
      </c>
      <c r="V9" s="426"/>
      <c r="W9" s="426"/>
      <c r="X9" s="426"/>
      <c r="Y9" s="426"/>
      <c r="Z9" s="426"/>
      <c r="AA9" s="426"/>
    </row>
    <row r="10" spans="1:29" ht="15.5" x14ac:dyDescent="0.35">
      <c r="C10" s="365" t="s">
        <v>3</v>
      </c>
      <c r="D10" s="7"/>
      <c r="E10" s="92"/>
      <c r="F10" s="92"/>
      <c r="G10" s="91"/>
      <c r="H10" s="91"/>
      <c r="I10" s="92"/>
      <c r="J10" s="5"/>
      <c r="K10" s="109"/>
      <c r="M10" s="200"/>
      <c r="N10" s="200"/>
      <c r="O10" s="91"/>
      <c r="P10" s="92"/>
      <c r="Q10" s="92"/>
      <c r="R10" s="7"/>
      <c r="U10" s="200"/>
      <c r="V10" s="200"/>
      <c r="W10" s="91"/>
      <c r="X10" s="92"/>
      <c r="Y10" s="92"/>
      <c r="Z10" s="7"/>
      <c r="AA10" s="38"/>
    </row>
    <row r="11" spans="1:29" s="65" customFormat="1" ht="69" thickBot="1" x14ac:dyDescent="0.7">
      <c r="C11" s="356"/>
      <c r="D11" s="118"/>
      <c r="E11" s="126" t="s">
        <v>69</v>
      </c>
      <c r="F11" s="118"/>
      <c r="G11" s="127" t="s">
        <v>0</v>
      </c>
      <c r="H11" s="119"/>
      <c r="I11" s="118" t="s">
        <v>23</v>
      </c>
      <c r="J11" s="120"/>
      <c r="K11" s="128" t="s">
        <v>109</v>
      </c>
      <c r="L11" s="121"/>
      <c r="M11" s="143" t="s">
        <v>69</v>
      </c>
      <c r="N11" s="143"/>
      <c r="O11" s="127" t="s">
        <v>0</v>
      </c>
      <c r="P11" s="118"/>
      <c r="Q11" s="118" t="s">
        <v>23</v>
      </c>
      <c r="R11" s="122"/>
      <c r="S11" s="144" t="str">
        <f>'Site Base Data'!E11</f>
        <v>Multi-family, 
Retail</v>
      </c>
      <c r="T11" s="121"/>
      <c r="U11" s="143" t="s">
        <v>69</v>
      </c>
      <c r="V11" s="143"/>
      <c r="W11" s="127" t="s">
        <v>0</v>
      </c>
      <c r="X11" s="118"/>
      <c r="Y11" s="118" t="s">
        <v>23</v>
      </c>
      <c r="Z11" s="122"/>
      <c r="AA11" s="144" t="str">
        <f>'Site Base Data'!F11</f>
        <v>Residential, Townhouses</v>
      </c>
      <c r="AB11" s="292"/>
      <c r="AC11" s="292"/>
    </row>
    <row r="12" spans="1:29" x14ac:dyDescent="0.3">
      <c r="C12" s="357" t="s">
        <v>25</v>
      </c>
      <c r="D12" s="7"/>
      <c r="E12" s="230"/>
      <c r="F12" s="184"/>
      <c r="G12" s="215"/>
      <c r="H12" s="215"/>
      <c r="I12" s="184"/>
      <c r="J12" s="130"/>
      <c r="K12" s="170"/>
      <c r="L12" s="4"/>
      <c r="M12" s="201"/>
      <c r="N12" s="214"/>
      <c r="O12" s="215"/>
      <c r="P12" s="184"/>
      <c r="Q12" s="184"/>
      <c r="R12" s="129"/>
      <c r="S12" s="258"/>
      <c r="T12" s="4"/>
      <c r="U12" s="201"/>
      <c r="V12" s="214"/>
      <c r="W12" s="215"/>
      <c r="X12" s="184"/>
      <c r="Y12" s="184"/>
      <c r="Z12" s="129"/>
      <c r="AA12" s="145"/>
    </row>
    <row r="13" spans="1:29" ht="39" x14ac:dyDescent="0.3">
      <c r="C13" s="358" t="s">
        <v>50</v>
      </c>
      <c r="D13" s="8"/>
      <c r="E13" s="202"/>
      <c r="F13" s="190"/>
      <c r="G13" s="190"/>
      <c r="H13" s="190"/>
      <c r="I13" s="299" t="s">
        <v>147</v>
      </c>
      <c r="J13" s="353"/>
      <c r="K13" s="355" t="s">
        <v>148</v>
      </c>
      <c r="L13" s="4"/>
      <c r="M13" s="202"/>
      <c r="N13" s="190"/>
      <c r="O13" s="190"/>
      <c r="P13" s="190"/>
      <c r="Q13" s="299" t="s">
        <v>147</v>
      </c>
      <c r="R13" s="11"/>
      <c r="S13" s="254" t="s">
        <v>131</v>
      </c>
      <c r="T13" s="4"/>
      <c r="U13" s="202"/>
      <c r="V13" s="190"/>
      <c r="W13" s="190"/>
      <c r="X13" s="190"/>
      <c r="Y13" s="299" t="s">
        <v>147</v>
      </c>
      <c r="Z13" s="11"/>
      <c r="AA13" s="254" t="s">
        <v>131</v>
      </c>
    </row>
    <row r="14" spans="1:29" x14ac:dyDescent="0.3">
      <c r="C14" s="359" t="s">
        <v>68</v>
      </c>
      <c r="D14" s="9"/>
      <c r="E14" s="231"/>
      <c r="F14" s="186"/>
      <c r="G14" s="232"/>
      <c r="H14" s="232"/>
      <c r="I14" s="186"/>
      <c r="J14" s="131"/>
      <c r="K14" s="171"/>
      <c r="L14" s="4"/>
      <c r="M14" s="202"/>
      <c r="N14" s="190"/>
      <c r="O14" s="190"/>
      <c r="P14" s="190"/>
      <c r="Q14" s="186"/>
      <c r="R14" s="4"/>
      <c r="S14" s="254"/>
      <c r="T14" s="4"/>
      <c r="U14" s="202"/>
      <c r="V14" s="190"/>
      <c r="W14" s="190"/>
      <c r="X14" s="190"/>
      <c r="Y14" s="186"/>
      <c r="Z14" s="4"/>
      <c r="AA14" s="146"/>
    </row>
    <row r="15" spans="1:29" x14ac:dyDescent="0.3">
      <c r="C15" s="360"/>
      <c r="D15" s="8"/>
      <c r="E15" s="233"/>
      <c r="F15" s="187"/>
      <c r="G15" s="234"/>
      <c r="H15" s="234"/>
      <c r="I15" s="187"/>
      <c r="J15" s="152"/>
      <c r="K15" s="172"/>
      <c r="L15" s="4"/>
      <c r="M15" s="203"/>
      <c r="N15" s="195"/>
      <c r="O15" s="195"/>
      <c r="P15" s="195"/>
      <c r="Q15" s="187"/>
      <c r="R15" s="155"/>
      <c r="S15" s="259"/>
      <c r="T15" s="4"/>
      <c r="U15" s="202"/>
      <c r="V15" s="190"/>
      <c r="W15" s="190"/>
      <c r="X15" s="190"/>
      <c r="Y15" s="187"/>
      <c r="Z15" s="4"/>
      <c r="AA15" s="146"/>
    </row>
    <row r="16" spans="1:29" x14ac:dyDescent="0.3">
      <c r="C16" s="357" t="s">
        <v>24</v>
      </c>
      <c r="D16" s="8"/>
      <c r="E16" s="235"/>
      <c r="F16" s="188"/>
      <c r="G16" s="236"/>
      <c r="H16" s="236"/>
      <c r="I16" s="188"/>
      <c r="J16" s="153"/>
      <c r="K16" s="173"/>
      <c r="L16" s="4"/>
      <c r="M16" s="204"/>
      <c r="N16" s="196"/>
      <c r="O16" s="196"/>
      <c r="P16" s="196"/>
      <c r="Q16" s="188"/>
      <c r="R16" s="156"/>
      <c r="S16" s="260"/>
      <c r="T16" s="4"/>
      <c r="U16" s="204"/>
      <c r="V16" s="196"/>
      <c r="W16" s="196"/>
      <c r="X16" s="196"/>
      <c r="Y16" s="188"/>
      <c r="Z16" s="156"/>
      <c r="AA16" s="294"/>
    </row>
    <row r="17" spans="3:29" ht="39" x14ac:dyDescent="0.3">
      <c r="C17" s="361" t="s">
        <v>64</v>
      </c>
      <c r="D17" s="8"/>
      <c r="E17" s="206" t="s">
        <v>121</v>
      </c>
      <c r="F17" s="216"/>
      <c r="G17" s="217">
        <f>'Site Base Data'!$D$9</f>
        <v>28755</v>
      </c>
      <c r="H17" s="216"/>
      <c r="I17" s="299" t="s">
        <v>147</v>
      </c>
      <c r="J17" s="117"/>
      <c r="K17" s="174" t="s">
        <v>149</v>
      </c>
      <c r="L17" s="4"/>
      <c r="M17" s="205"/>
      <c r="N17" s="185"/>
      <c r="O17" s="216">
        <v>0</v>
      </c>
      <c r="P17" s="190"/>
      <c r="Q17" s="299" t="s">
        <v>147</v>
      </c>
      <c r="R17" s="4"/>
      <c r="S17" s="132" t="s">
        <v>112</v>
      </c>
      <c r="T17" s="4"/>
      <c r="U17" s="205"/>
      <c r="V17" s="185"/>
      <c r="W17" s="216">
        <v>0</v>
      </c>
      <c r="X17" s="190"/>
      <c r="Y17" s="299" t="s">
        <v>147</v>
      </c>
      <c r="Z17" s="4"/>
      <c r="AA17" s="132" t="s">
        <v>112</v>
      </c>
    </row>
    <row r="18" spans="3:29" ht="39" x14ac:dyDescent="0.3">
      <c r="C18" s="361" t="s">
        <v>51</v>
      </c>
      <c r="D18" s="8"/>
      <c r="E18" s="206" t="s">
        <v>121</v>
      </c>
      <c r="F18" s="216"/>
      <c r="G18" s="217">
        <f>'Site Base Data'!$D$9</f>
        <v>28755</v>
      </c>
      <c r="H18" s="216"/>
      <c r="I18" s="185">
        <v>25000</v>
      </c>
      <c r="J18" s="133"/>
      <c r="K18" s="132" t="s">
        <v>129</v>
      </c>
      <c r="L18" s="4"/>
      <c r="M18" s="206" t="s">
        <v>121</v>
      </c>
      <c r="N18" s="190"/>
      <c r="O18" s="216">
        <v>0</v>
      </c>
      <c r="P18" s="190"/>
      <c r="Q18" s="185">
        <v>15000</v>
      </c>
      <c r="R18" s="133"/>
      <c r="S18" s="132" t="s">
        <v>128</v>
      </c>
      <c r="T18" s="4"/>
      <c r="U18" s="206" t="s">
        <v>121</v>
      </c>
      <c r="V18" s="190"/>
      <c r="W18" s="216">
        <v>0</v>
      </c>
      <c r="X18" s="190"/>
      <c r="Y18" s="185">
        <v>10000</v>
      </c>
      <c r="Z18" s="133"/>
      <c r="AA18" s="132" t="s">
        <v>128</v>
      </c>
    </row>
    <row r="19" spans="3:29" ht="26" x14ac:dyDescent="0.3">
      <c r="C19" s="361" t="s">
        <v>102</v>
      </c>
      <c r="D19" s="8"/>
      <c r="E19" s="206" t="s">
        <v>121</v>
      </c>
      <c r="F19" s="216"/>
      <c r="G19" s="217">
        <f>'Site Base Data'!$D$9</f>
        <v>28755</v>
      </c>
      <c r="H19" s="216"/>
      <c r="I19" s="185">
        <v>20000</v>
      </c>
      <c r="J19" s="133"/>
      <c r="K19" s="132" t="s">
        <v>124</v>
      </c>
      <c r="L19" s="4"/>
      <c r="M19" s="206" t="s">
        <v>121</v>
      </c>
      <c r="N19" s="190"/>
      <c r="O19" s="217">
        <f>'Site Base Data'!E9</f>
        <v>7620</v>
      </c>
      <c r="P19" s="190"/>
      <c r="Q19" s="185">
        <v>20000</v>
      </c>
      <c r="R19" s="4"/>
      <c r="S19" s="132" t="s">
        <v>122</v>
      </c>
      <c r="T19" s="4"/>
      <c r="U19" s="202"/>
      <c r="V19" s="190"/>
      <c r="W19" s="217">
        <f>'Site Base Data'!F9</f>
        <v>21135</v>
      </c>
      <c r="X19" s="190"/>
      <c r="Y19" s="185">
        <v>15000</v>
      </c>
      <c r="Z19" s="4"/>
      <c r="AA19" s="134" t="s">
        <v>122</v>
      </c>
    </row>
    <row r="20" spans="3:29" x14ac:dyDescent="0.3">
      <c r="C20" s="361" t="s">
        <v>57</v>
      </c>
      <c r="D20" s="8"/>
      <c r="E20" s="207">
        <v>0</v>
      </c>
      <c r="F20" s="216"/>
      <c r="G20" s="216">
        <v>0</v>
      </c>
      <c r="H20" s="216"/>
      <c r="I20" s="185">
        <f>G20*E20</f>
        <v>0</v>
      </c>
      <c r="J20" s="133"/>
      <c r="K20" s="132" t="s">
        <v>79</v>
      </c>
      <c r="L20" s="4"/>
      <c r="M20" s="207">
        <v>400</v>
      </c>
      <c r="N20" s="190"/>
      <c r="O20" s="274">
        <f>'Site Base Data'!E22</f>
        <v>18005</v>
      </c>
      <c r="P20" s="190"/>
      <c r="Q20" s="185">
        <f>O20*$M20</f>
        <v>7202000</v>
      </c>
      <c r="R20" s="111"/>
      <c r="S20" s="254"/>
      <c r="T20" s="4"/>
      <c r="U20" s="212">
        <f>M20</f>
        <v>400</v>
      </c>
      <c r="V20" s="190"/>
      <c r="W20" s="274">
        <f>'Site Base Data'!F22</f>
        <v>38880</v>
      </c>
      <c r="X20" s="190"/>
      <c r="Y20" s="185">
        <f>W20*$U20</f>
        <v>15552000</v>
      </c>
      <c r="Z20" s="111"/>
      <c r="AA20" s="146"/>
    </row>
    <row r="21" spans="3:29" ht="26" x14ac:dyDescent="0.3">
      <c r="C21" s="361" t="s">
        <v>146</v>
      </c>
      <c r="D21" s="8"/>
      <c r="E21" s="205">
        <v>15</v>
      </c>
      <c r="F21" s="185"/>
      <c r="G21" s="217">
        <f>'Site Base Data'!$D$9</f>
        <v>28755</v>
      </c>
      <c r="H21" s="216"/>
      <c r="I21" s="185">
        <f>G21*E21</f>
        <v>431325</v>
      </c>
      <c r="J21" s="3"/>
      <c r="K21" s="132" t="s">
        <v>123</v>
      </c>
      <c r="L21" s="4"/>
      <c r="M21" s="205">
        <v>25</v>
      </c>
      <c r="N21" s="190"/>
      <c r="O21" s="274">
        <f>('Site Base Data'!E9-'Site Base Data'!E13)</f>
        <v>890</v>
      </c>
      <c r="P21" s="190"/>
      <c r="Q21" s="185">
        <f>O21*$M21</f>
        <v>22250</v>
      </c>
      <c r="R21" s="111"/>
      <c r="S21" s="254"/>
      <c r="T21" s="4"/>
      <c r="U21" s="212">
        <f t="shared" ref="U21:U24" si="0">M21</f>
        <v>25</v>
      </c>
      <c r="V21" s="190"/>
      <c r="W21" s="274">
        <f>('Site Base Data'!F9-'Site Base Data'!F13)</f>
        <v>8175</v>
      </c>
      <c r="X21" s="190"/>
      <c r="Y21" s="185">
        <f>W21*$U21</f>
        <v>204375</v>
      </c>
      <c r="Z21" s="111"/>
      <c r="AA21" s="146"/>
    </row>
    <row r="22" spans="3:29" x14ac:dyDescent="0.3">
      <c r="C22" s="361" t="s">
        <v>76</v>
      </c>
      <c r="D22" s="8"/>
      <c r="E22" s="205">
        <v>0</v>
      </c>
      <c r="F22" s="185"/>
      <c r="G22" s="217">
        <f>'Site Base Data'!$D35</f>
        <v>10155</v>
      </c>
      <c r="H22" s="216"/>
      <c r="I22" s="185">
        <f>G22*E22</f>
        <v>0</v>
      </c>
      <c r="J22" s="3"/>
      <c r="K22" s="132" t="s">
        <v>79</v>
      </c>
      <c r="L22" s="4"/>
      <c r="M22" s="205">
        <v>25</v>
      </c>
      <c r="N22" s="190"/>
      <c r="O22" s="275">
        <f>'Site Base Data'!E35</f>
        <v>900</v>
      </c>
      <c r="P22" s="190"/>
      <c r="Q22" s="185">
        <f>O22*$M22</f>
        <v>22500</v>
      </c>
      <c r="R22" s="111"/>
      <c r="S22" s="254"/>
      <c r="T22" s="4"/>
      <c r="U22" s="212">
        <f t="shared" si="0"/>
        <v>25</v>
      </c>
      <c r="V22" s="190"/>
      <c r="W22" s="275">
        <f>'Site Base Data'!F35</f>
        <v>9255</v>
      </c>
      <c r="X22" s="190"/>
      <c r="Y22" s="185">
        <f>W22*$U22</f>
        <v>231375</v>
      </c>
      <c r="Z22" s="111"/>
      <c r="AA22" s="146"/>
    </row>
    <row r="23" spans="3:29" ht="26" x14ac:dyDescent="0.3">
      <c r="C23" s="361" t="s">
        <v>77</v>
      </c>
      <c r="D23" s="8"/>
      <c r="E23" s="205">
        <v>10</v>
      </c>
      <c r="F23" s="185"/>
      <c r="G23" s="217">
        <f>'Site Base Data'!$D36</f>
        <v>7250</v>
      </c>
      <c r="H23" s="216"/>
      <c r="I23" s="185">
        <f>G23*E23</f>
        <v>72500</v>
      </c>
      <c r="J23" s="3"/>
      <c r="K23" s="132" t="s">
        <v>110</v>
      </c>
      <c r="L23" s="4"/>
      <c r="M23" s="205">
        <v>25</v>
      </c>
      <c r="N23" s="190"/>
      <c r="O23" s="276">
        <f>'Site Base Data'!E36</f>
        <v>885</v>
      </c>
      <c r="P23" s="190"/>
      <c r="Q23" s="185">
        <f>O23*$M23</f>
        <v>22125</v>
      </c>
      <c r="R23" s="111"/>
      <c r="S23" s="254"/>
      <c r="T23" s="4"/>
      <c r="U23" s="212">
        <f t="shared" si="0"/>
        <v>25</v>
      </c>
      <c r="V23" s="190"/>
      <c r="W23" s="276">
        <f>'Site Base Data'!F36</f>
        <v>6365</v>
      </c>
      <c r="X23" s="190"/>
      <c r="Y23" s="185">
        <f>W23*$U23</f>
        <v>159125</v>
      </c>
      <c r="Z23" s="111"/>
      <c r="AA23" s="146"/>
    </row>
    <row r="24" spans="3:29" ht="26" x14ac:dyDescent="0.3">
      <c r="C24" s="361" t="s">
        <v>78</v>
      </c>
      <c r="D24" s="8"/>
      <c r="E24" s="205">
        <v>5</v>
      </c>
      <c r="F24" s="185"/>
      <c r="G24" s="217">
        <f>'Site Base Data'!$D37</f>
        <v>11775</v>
      </c>
      <c r="H24" s="216"/>
      <c r="I24" s="185">
        <f>G24*E24</f>
        <v>58875</v>
      </c>
      <c r="J24" s="117"/>
      <c r="K24" s="132" t="s">
        <v>111</v>
      </c>
      <c r="L24" s="4"/>
      <c r="M24" s="205">
        <v>10</v>
      </c>
      <c r="N24" s="190"/>
      <c r="O24" s="277">
        <f>'Site Base Data'!E37</f>
        <v>2460</v>
      </c>
      <c r="P24" s="190"/>
      <c r="Q24" s="185">
        <f>O24*$M24</f>
        <v>24600</v>
      </c>
      <c r="R24" s="111"/>
      <c r="S24" s="254" t="s">
        <v>127</v>
      </c>
      <c r="T24" s="4"/>
      <c r="U24" s="212">
        <f t="shared" si="0"/>
        <v>10</v>
      </c>
      <c r="V24" s="190"/>
      <c r="W24" s="277">
        <f>'Site Base Data'!F37</f>
        <v>9315</v>
      </c>
      <c r="X24" s="190"/>
      <c r="Y24" s="185">
        <f>W24*$U24</f>
        <v>93150</v>
      </c>
      <c r="Z24" s="111"/>
      <c r="AA24" s="146" t="s">
        <v>127</v>
      </c>
    </row>
    <row r="25" spans="3:29" x14ac:dyDescent="0.3">
      <c r="C25" s="362" t="s">
        <v>114</v>
      </c>
      <c r="D25" s="29"/>
      <c r="E25" s="237"/>
      <c r="F25" s="238"/>
      <c r="G25" s="239"/>
      <c r="H25" s="239"/>
      <c r="I25" s="189">
        <f>ROUNDUP(SUM(I17:I24), -2)</f>
        <v>607700</v>
      </c>
      <c r="J25" s="3"/>
      <c r="K25" s="174"/>
      <c r="L25" s="4"/>
      <c r="M25" s="202"/>
      <c r="N25" s="190"/>
      <c r="O25" s="190"/>
      <c r="P25" s="190"/>
      <c r="Q25" s="197">
        <f>ROUND(SUM(Q17:Q24), -2)</f>
        <v>7328500</v>
      </c>
      <c r="R25" s="136"/>
      <c r="S25" s="254"/>
      <c r="T25" s="4"/>
      <c r="U25" s="202"/>
      <c r="V25" s="190"/>
      <c r="W25" s="190"/>
      <c r="X25" s="190"/>
      <c r="Y25" s="197">
        <f>ROUND(SUM(Y17:Y24), -2)</f>
        <v>16265000</v>
      </c>
      <c r="Z25" s="136"/>
      <c r="AA25" s="146"/>
    </row>
    <row r="26" spans="3:29" x14ac:dyDescent="0.3">
      <c r="C26" s="363"/>
      <c r="E26" s="202"/>
      <c r="F26" s="190"/>
      <c r="G26" s="240"/>
      <c r="H26" s="240"/>
      <c r="I26" s="190"/>
      <c r="J26" s="3"/>
      <c r="K26" s="174"/>
      <c r="L26" s="4"/>
      <c r="M26" s="202"/>
      <c r="N26" s="190"/>
      <c r="O26" s="190"/>
      <c r="P26" s="190"/>
      <c r="Q26" s="190"/>
      <c r="R26" s="4"/>
      <c r="S26" s="254"/>
      <c r="T26" s="4"/>
      <c r="U26" s="202"/>
      <c r="V26" s="190"/>
      <c r="W26" s="190"/>
      <c r="X26" s="190"/>
      <c r="Y26" s="190"/>
      <c r="Z26" s="4"/>
      <c r="AA26" s="146"/>
    </row>
    <row r="27" spans="3:29" x14ac:dyDescent="0.3">
      <c r="C27" s="361" t="s">
        <v>58</v>
      </c>
      <c r="D27" s="8"/>
      <c r="E27" s="241">
        <v>0.03</v>
      </c>
      <c r="F27" s="185"/>
      <c r="G27" s="216"/>
      <c r="H27" s="216"/>
      <c r="I27" s="191">
        <f>SUM($E27*$I$25)</f>
        <v>18231</v>
      </c>
      <c r="J27" s="117"/>
      <c r="K27" s="175"/>
      <c r="L27" s="4"/>
      <c r="M27" s="208"/>
      <c r="N27" s="218"/>
      <c r="O27" s="190"/>
      <c r="P27" s="190"/>
      <c r="Q27" s="191">
        <f>SUM($E27*Q$25)</f>
        <v>219855</v>
      </c>
      <c r="R27" s="135"/>
      <c r="S27" s="254"/>
      <c r="T27" s="4"/>
      <c r="U27" s="208"/>
      <c r="V27" s="218"/>
      <c r="W27" s="190"/>
      <c r="X27" s="190"/>
      <c r="Y27" s="191">
        <f>SUM($E27*Y$25)</f>
        <v>487950</v>
      </c>
      <c r="Z27" s="135"/>
      <c r="AA27" s="146"/>
    </row>
    <row r="28" spans="3:29" x14ac:dyDescent="0.3">
      <c r="C28" s="361" t="s">
        <v>52</v>
      </c>
      <c r="D28" s="8"/>
      <c r="E28" s="241">
        <v>0.06</v>
      </c>
      <c r="F28" s="185"/>
      <c r="G28" s="216"/>
      <c r="H28" s="216"/>
      <c r="I28" s="191">
        <f t="shared" ref="I28:I33" si="1">SUM(E28*$I$25)</f>
        <v>36462</v>
      </c>
      <c r="J28" s="117"/>
      <c r="K28" s="175"/>
      <c r="L28" s="4"/>
      <c r="M28" s="208"/>
      <c r="N28" s="218"/>
      <c r="O28" s="190"/>
      <c r="P28" s="190"/>
      <c r="Q28" s="191">
        <f t="shared" ref="Q28:Q34" si="2">SUM($E28*Q$25)</f>
        <v>439710</v>
      </c>
      <c r="R28" s="135"/>
      <c r="S28" s="254"/>
      <c r="T28" s="4"/>
      <c r="U28" s="208"/>
      <c r="V28" s="218"/>
      <c r="W28" s="190"/>
      <c r="X28" s="190"/>
      <c r="Y28" s="191">
        <f t="shared" ref="Y28:Y33" si="3">SUM($E28*Y$25)</f>
        <v>975900</v>
      </c>
      <c r="Z28" s="135"/>
      <c r="AA28" s="146"/>
    </row>
    <row r="29" spans="3:29" x14ac:dyDescent="0.3">
      <c r="C29" s="361" t="s">
        <v>59</v>
      </c>
      <c r="D29" s="9"/>
      <c r="E29" s="242">
        <v>0.03</v>
      </c>
      <c r="F29" s="186"/>
      <c r="G29" s="232"/>
      <c r="H29" s="232"/>
      <c r="I29" s="191">
        <f t="shared" si="1"/>
        <v>18231</v>
      </c>
      <c r="J29" s="3"/>
      <c r="K29" s="174"/>
      <c r="L29" s="4"/>
      <c r="M29" s="208"/>
      <c r="N29" s="218"/>
      <c r="O29" s="190"/>
      <c r="P29" s="190"/>
      <c r="Q29" s="191">
        <f t="shared" si="2"/>
        <v>219855</v>
      </c>
      <c r="R29" s="135"/>
      <c r="S29" s="254"/>
      <c r="T29" s="4"/>
      <c r="U29" s="208"/>
      <c r="V29" s="218"/>
      <c r="W29" s="190"/>
      <c r="X29" s="190"/>
      <c r="Y29" s="191">
        <f t="shared" si="3"/>
        <v>487950</v>
      </c>
      <c r="Z29" s="135"/>
      <c r="AA29" s="146"/>
    </row>
    <row r="30" spans="3:29" s="2" customFormat="1" x14ac:dyDescent="0.3">
      <c r="C30" s="361" t="s">
        <v>60</v>
      </c>
      <c r="D30" s="9"/>
      <c r="E30" s="242">
        <v>0.01</v>
      </c>
      <c r="F30" s="186"/>
      <c r="G30" s="232"/>
      <c r="H30" s="232"/>
      <c r="I30" s="191">
        <f t="shared" si="1"/>
        <v>6077</v>
      </c>
      <c r="J30" s="4"/>
      <c r="K30" s="132"/>
      <c r="L30" s="4"/>
      <c r="M30" s="208"/>
      <c r="N30" s="218"/>
      <c r="O30" s="219"/>
      <c r="P30" s="190"/>
      <c r="Q30" s="191">
        <f t="shared" si="2"/>
        <v>73285</v>
      </c>
      <c r="R30" s="135"/>
      <c r="S30" s="254"/>
      <c r="T30" s="4"/>
      <c r="U30" s="208"/>
      <c r="V30" s="218"/>
      <c r="W30" s="219"/>
      <c r="X30" s="190"/>
      <c r="Y30" s="191">
        <f t="shared" si="3"/>
        <v>162650</v>
      </c>
      <c r="Z30" s="135"/>
      <c r="AA30" s="146"/>
      <c r="AB30" s="4"/>
      <c r="AC30" s="4"/>
    </row>
    <row r="31" spans="3:29" x14ac:dyDescent="0.3">
      <c r="C31" s="361" t="s">
        <v>61</v>
      </c>
      <c r="D31" s="8"/>
      <c r="E31" s="241">
        <v>0.01</v>
      </c>
      <c r="F31" s="185"/>
      <c r="G31" s="216"/>
      <c r="H31" s="216"/>
      <c r="I31" s="191">
        <f t="shared" si="1"/>
        <v>6077</v>
      </c>
      <c r="J31" s="117"/>
      <c r="K31" s="175"/>
      <c r="L31" s="4"/>
      <c r="M31" s="208"/>
      <c r="N31" s="218"/>
      <c r="O31" s="190"/>
      <c r="P31" s="190"/>
      <c r="Q31" s="191">
        <f t="shared" si="2"/>
        <v>73285</v>
      </c>
      <c r="R31" s="135"/>
      <c r="S31" s="254"/>
      <c r="T31" s="4"/>
      <c r="U31" s="208"/>
      <c r="V31" s="218"/>
      <c r="W31" s="190"/>
      <c r="X31" s="190"/>
      <c r="Y31" s="191">
        <f t="shared" si="3"/>
        <v>162650</v>
      </c>
      <c r="Z31" s="135"/>
      <c r="AA31" s="146"/>
    </row>
    <row r="32" spans="3:29" x14ac:dyDescent="0.3">
      <c r="C32" s="361" t="s">
        <v>62</v>
      </c>
      <c r="D32" s="8"/>
      <c r="E32" s="241">
        <v>7.4999999999999997E-2</v>
      </c>
      <c r="F32" s="185"/>
      <c r="G32" s="216"/>
      <c r="H32" s="216"/>
      <c r="I32" s="191">
        <f t="shared" si="1"/>
        <v>45577.5</v>
      </c>
      <c r="J32" s="117"/>
      <c r="K32" s="175"/>
      <c r="L32" s="4"/>
      <c r="M32" s="208"/>
      <c r="N32" s="218"/>
      <c r="O32" s="190"/>
      <c r="P32" s="190"/>
      <c r="Q32" s="191">
        <f t="shared" si="2"/>
        <v>549637.5</v>
      </c>
      <c r="R32" s="135"/>
      <c r="S32" s="254"/>
      <c r="T32" s="4"/>
      <c r="U32" s="208"/>
      <c r="V32" s="218"/>
      <c r="W32" s="190"/>
      <c r="X32" s="190"/>
      <c r="Y32" s="191">
        <f t="shared" si="3"/>
        <v>1219875</v>
      </c>
      <c r="Z32" s="135"/>
      <c r="AA32" s="146"/>
    </row>
    <row r="33" spans="3:29" x14ac:dyDescent="0.3">
      <c r="C33" s="361" t="s">
        <v>63</v>
      </c>
      <c r="D33" s="8"/>
      <c r="E33" s="241">
        <v>8.0000000000000002E-3</v>
      </c>
      <c r="F33" s="185"/>
      <c r="G33" s="216"/>
      <c r="H33" s="216"/>
      <c r="I33" s="191">
        <f t="shared" si="1"/>
        <v>4861.6000000000004</v>
      </c>
      <c r="J33" s="117"/>
      <c r="K33" s="176" t="s">
        <v>120</v>
      </c>
      <c r="L33" s="4"/>
      <c r="M33" s="208"/>
      <c r="N33" s="218"/>
      <c r="O33" s="190"/>
      <c r="P33" s="190"/>
      <c r="Q33" s="191">
        <f t="shared" si="2"/>
        <v>58628</v>
      </c>
      <c r="R33" s="135"/>
      <c r="S33" s="254"/>
      <c r="T33" s="4"/>
      <c r="U33" s="208"/>
      <c r="V33" s="218"/>
      <c r="W33" s="190"/>
      <c r="X33" s="190"/>
      <c r="Y33" s="191">
        <f t="shared" si="3"/>
        <v>130120</v>
      </c>
      <c r="Z33" s="135"/>
      <c r="AA33" s="146"/>
    </row>
    <row r="34" spans="3:29" x14ac:dyDescent="0.3">
      <c r="C34" s="361" t="s">
        <v>67</v>
      </c>
      <c r="D34" s="8"/>
      <c r="E34" s="242">
        <v>0.01</v>
      </c>
      <c r="F34" s="185"/>
      <c r="G34" s="216"/>
      <c r="H34" s="216"/>
      <c r="I34" s="191">
        <f>SUM(E34*$I$25)</f>
        <v>6077</v>
      </c>
      <c r="J34" s="117"/>
      <c r="K34" s="175"/>
      <c r="L34" s="4"/>
      <c r="M34" s="208"/>
      <c r="N34" s="218"/>
      <c r="O34" s="190"/>
      <c r="P34" s="190"/>
      <c r="Q34" s="191">
        <f t="shared" si="2"/>
        <v>73285</v>
      </c>
      <c r="R34" s="135"/>
      <c r="S34" s="254"/>
      <c r="T34" s="4"/>
      <c r="U34" s="208"/>
      <c r="V34" s="218"/>
      <c r="W34" s="190"/>
      <c r="X34" s="190"/>
      <c r="Y34" s="191">
        <f>SUM($E34*Y$25)</f>
        <v>162650</v>
      </c>
      <c r="Z34" s="135"/>
      <c r="AA34" s="146"/>
    </row>
    <row r="35" spans="3:29" x14ac:dyDescent="0.3">
      <c r="C35" s="362" t="s">
        <v>115</v>
      </c>
      <c r="D35" s="8"/>
      <c r="E35" s="242"/>
      <c r="F35" s="185"/>
      <c r="G35" s="216"/>
      <c r="H35" s="216"/>
      <c r="I35" s="189">
        <f>ROUNDUP(SUM(I27:I34), -2)</f>
        <v>141600</v>
      </c>
      <c r="J35" s="117"/>
      <c r="K35" s="175"/>
      <c r="L35" s="4"/>
      <c r="M35" s="208"/>
      <c r="N35" s="218"/>
      <c r="O35" s="190"/>
      <c r="P35" s="190"/>
      <c r="Q35" s="198">
        <f>ROUND(SUM(Q27:Q34), -2)</f>
        <v>1707500</v>
      </c>
      <c r="R35" s="135"/>
      <c r="S35" s="254"/>
      <c r="T35" s="4"/>
      <c r="U35" s="208"/>
      <c r="V35" s="218"/>
      <c r="W35" s="190"/>
      <c r="X35" s="190"/>
      <c r="Y35" s="198">
        <f>ROUND(SUM(Y27:Y34), -2)</f>
        <v>3789700</v>
      </c>
      <c r="Z35" s="135"/>
      <c r="AA35" s="146"/>
    </row>
    <row r="36" spans="3:29" x14ac:dyDescent="0.3">
      <c r="C36" s="359" t="s">
        <v>104</v>
      </c>
      <c r="D36" s="9"/>
      <c r="E36" s="243"/>
      <c r="F36" s="186"/>
      <c r="G36" s="232"/>
      <c r="H36" s="232"/>
      <c r="I36" s="192">
        <f>SUM(I35+I25)</f>
        <v>749300</v>
      </c>
      <c r="J36" s="117"/>
      <c r="K36" s="175"/>
      <c r="L36" s="4"/>
      <c r="M36" s="202"/>
      <c r="N36" s="190"/>
      <c r="O36" s="190"/>
      <c r="P36" s="190"/>
      <c r="Q36" s="192">
        <f>SUM(Q35+Q25)</f>
        <v>9036000</v>
      </c>
      <c r="R36" s="136"/>
      <c r="S36" s="254"/>
      <c r="T36" s="4"/>
      <c r="U36" s="202"/>
      <c r="V36" s="190"/>
      <c r="W36" s="190"/>
      <c r="X36" s="190"/>
      <c r="Y36" s="192">
        <f>SUM(Y35+Y25)</f>
        <v>20054700</v>
      </c>
      <c r="Z36" s="136"/>
      <c r="AA36" s="146"/>
    </row>
    <row r="37" spans="3:29" s="17" customFormat="1" ht="15.5" x14ac:dyDescent="0.35">
      <c r="C37" s="364"/>
      <c r="D37" s="8"/>
      <c r="E37" s="244"/>
      <c r="F37" s="185"/>
      <c r="G37" s="216"/>
      <c r="H37" s="216"/>
      <c r="I37" s="185"/>
      <c r="J37" s="111"/>
      <c r="K37" s="176"/>
      <c r="L37" s="125"/>
      <c r="M37" s="202"/>
      <c r="N37" s="190"/>
      <c r="O37" s="106"/>
      <c r="P37" s="106"/>
      <c r="Q37" s="185"/>
      <c r="R37" s="125"/>
      <c r="S37" s="261"/>
      <c r="T37" s="125"/>
      <c r="U37" s="202"/>
      <c r="V37" s="190"/>
      <c r="W37" s="106"/>
      <c r="X37" s="106"/>
      <c r="Y37" s="185"/>
      <c r="Z37" s="125"/>
      <c r="AA37" s="147"/>
      <c r="AB37" s="125"/>
      <c r="AC37" s="280"/>
    </row>
    <row r="38" spans="3:29" x14ac:dyDescent="0.3">
      <c r="C38" s="357" t="s">
        <v>65</v>
      </c>
      <c r="D38" s="8"/>
      <c r="E38" s="244"/>
      <c r="F38" s="185"/>
      <c r="G38" s="216"/>
      <c r="H38" s="216"/>
      <c r="I38" s="185"/>
      <c r="J38" s="117"/>
      <c r="K38" s="175"/>
      <c r="L38" s="4"/>
      <c r="M38" s="202"/>
      <c r="N38" s="190"/>
      <c r="O38" s="190"/>
      <c r="P38" s="190"/>
      <c r="Q38" s="185"/>
      <c r="R38" s="4"/>
      <c r="S38" s="254"/>
      <c r="T38" s="4"/>
      <c r="U38" s="202"/>
      <c r="V38" s="190"/>
      <c r="W38" s="190"/>
      <c r="X38" s="190"/>
      <c r="Y38" s="185"/>
      <c r="Z38" s="4"/>
      <c r="AA38" s="146"/>
    </row>
    <row r="39" spans="3:29" s="6" customFormat="1" ht="39.5" thickBot="1" x14ac:dyDescent="0.35">
      <c r="C39" s="358" t="s">
        <v>53</v>
      </c>
      <c r="D39" s="110"/>
      <c r="E39" s="241">
        <v>0.03</v>
      </c>
      <c r="F39" s="185"/>
      <c r="G39" s="216"/>
      <c r="H39" s="216"/>
      <c r="I39" s="185">
        <f>ROUNDUP(I$36*E39, -2)</f>
        <v>22500</v>
      </c>
      <c r="J39" s="138"/>
      <c r="K39" s="139" t="s">
        <v>82</v>
      </c>
      <c r="L39" s="142"/>
      <c r="M39" s="208">
        <v>0.01</v>
      </c>
      <c r="N39" s="218"/>
      <c r="O39" s="190"/>
      <c r="P39" s="190"/>
      <c r="Q39" s="185">
        <f>ROUNDUP(Q$36*M39, -2)</f>
        <v>90400</v>
      </c>
      <c r="R39" s="137"/>
      <c r="S39" s="262"/>
      <c r="T39" s="142"/>
      <c r="U39" s="208">
        <v>0.01</v>
      </c>
      <c r="V39" s="218"/>
      <c r="W39" s="190"/>
      <c r="X39" s="190"/>
      <c r="Y39" s="185">
        <f>ROUNDUP(Y$36*U39, -2)</f>
        <v>200600</v>
      </c>
      <c r="Z39" s="137"/>
      <c r="AA39" s="148"/>
      <c r="AB39" s="150"/>
      <c r="AC39" s="150"/>
    </row>
    <row r="40" spans="3:29" ht="26.5" thickBot="1" x14ac:dyDescent="0.35">
      <c r="C40" s="358" t="s">
        <v>80</v>
      </c>
      <c r="D40" s="8"/>
      <c r="E40" s="242">
        <v>0.125</v>
      </c>
      <c r="F40" s="185"/>
      <c r="G40" s="216"/>
      <c r="H40" s="216"/>
      <c r="I40" s="185">
        <f>ROUNDUP($I$36*E40, -2)</f>
        <v>93700</v>
      </c>
      <c r="J40" s="117"/>
      <c r="K40" s="174" t="s">
        <v>84</v>
      </c>
      <c r="L40" s="4"/>
      <c r="M40" s="209">
        <v>0.1</v>
      </c>
      <c r="N40" s="220"/>
      <c r="O40" s="190"/>
      <c r="P40" s="190"/>
      <c r="Q40" s="185">
        <f>ROUNDUP(Q$36*M40, -2)</f>
        <v>903600</v>
      </c>
      <c r="R40" s="111"/>
      <c r="S40" s="263" t="s">
        <v>84</v>
      </c>
      <c r="T40" s="4"/>
      <c r="U40" s="209">
        <v>0.05</v>
      </c>
      <c r="V40" s="220"/>
      <c r="W40" s="190"/>
      <c r="X40" s="190"/>
      <c r="Y40" s="185">
        <f>ROUNDUP(Y$36*U40, -2)</f>
        <v>1002800</v>
      </c>
      <c r="Z40" s="111"/>
      <c r="AA40" s="263" t="s">
        <v>84</v>
      </c>
    </row>
    <row r="41" spans="3:29" x14ac:dyDescent="0.3">
      <c r="C41" s="358" t="s">
        <v>55</v>
      </c>
      <c r="D41" s="8"/>
      <c r="E41" s="241">
        <v>0.03</v>
      </c>
      <c r="F41" s="185"/>
      <c r="G41" s="216"/>
      <c r="H41" s="216"/>
      <c r="I41" s="185">
        <f>ROUNDUP($I$36*E41, -2)</f>
        <v>22500</v>
      </c>
      <c r="J41" s="117"/>
      <c r="K41" s="176"/>
      <c r="L41" s="4"/>
      <c r="M41" s="208">
        <f>$E41</f>
        <v>0.03</v>
      </c>
      <c r="N41" s="218"/>
      <c r="O41" s="190"/>
      <c r="P41" s="190"/>
      <c r="Q41" s="185">
        <f>ROUNDUP(Q$36*M41, -2)</f>
        <v>271100</v>
      </c>
      <c r="R41" s="111"/>
      <c r="S41" s="254"/>
      <c r="T41" s="4"/>
      <c r="U41" s="208">
        <f>$E41</f>
        <v>0.03</v>
      </c>
      <c r="V41" s="218"/>
      <c r="W41" s="190"/>
      <c r="X41" s="190"/>
      <c r="Y41" s="185">
        <f>ROUNDUP(Y$36*U41, -2)</f>
        <v>601700</v>
      </c>
      <c r="Z41" s="111"/>
      <c r="AA41" s="146"/>
    </row>
    <row r="42" spans="3:29" ht="14.5" thickBot="1" x14ac:dyDescent="0.35">
      <c r="C42" s="358" t="s">
        <v>66</v>
      </c>
      <c r="D42" s="8"/>
      <c r="E42" s="210">
        <v>100000</v>
      </c>
      <c r="F42" s="185"/>
      <c r="G42" s="216"/>
      <c r="H42" s="216"/>
      <c r="I42" s="185">
        <f>E42</f>
        <v>100000</v>
      </c>
      <c r="J42" s="117"/>
      <c r="K42" s="176" t="s">
        <v>83</v>
      </c>
      <c r="L42" s="4"/>
      <c r="M42" s="210">
        <v>20000</v>
      </c>
      <c r="N42" s="218"/>
      <c r="O42" s="190"/>
      <c r="P42" s="190"/>
      <c r="Q42" s="185">
        <f>M42</f>
        <v>20000</v>
      </c>
      <c r="R42" s="111"/>
      <c r="S42" s="254" t="s">
        <v>85</v>
      </c>
      <c r="T42" s="4"/>
      <c r="U42" s="210">
        <v>20000</v>
      </c>
      <c r="V42" s="218"/>
      <c r="W42" s="190"/>
      <c r="X42" s="190"/>
      <c r="Y42" s="185">
        <f>U42</f>
        <v>20000</v>
      </c>
      <c r="Z42" s="111"/>
      <c r="AA42" s="146" t="s">
        <v>85</v>
      </c>
    </row>
    <row r="43" spans="3:29" ht="14.5" thickBot="1" x14ac:dyDescent="0.35">
      <c r="C43" s="358" t="s">
        <v>130</v>
      </c>
      <c r="D43" s="8"/>
      <c r="E43" s="242">
        <v>0.05</v>
      </c>
      <c r="F43" s="185"/>
      <c r="G43" s="216"/>
      <c r="H43" s="216"/>
      <c r="I43" s="185">
        <f>ROUNDUP($I$36*E43, -2)</f>
        <v>37500</v>
      </c>
      <c r="J43" s="117"/>
      <c r="K43" s="174"/>
      <c r="L43" s="4"/>
      <c r="M43" s="209">
        <v>0.05</v>
      </c>
      <c r="N43" s="220"/>
      <c r="O43" s="190"/>
      <c r="P43" s="190"/>
      <c r="Q43" s="185">
        <f>ROUNDUP(Q$36*M43, -2)</f>
        <v>451800</v>
      </c>
      <c r="R43" s="111"/>
      <c r="S43" s="263"/>
      <c r="T43" s="4"/>
      <c r="U43" s="209">
        <v>0.05</v>
      </c>
      <c r="V43" s="220"/>
      <c r="W43" s="190"/>
      <c r="X43" s="190"/>
      <c r="Y43" s="185">
        <f>ROUNDUP(Y$36*U43, -2)</f>
        <v>1002800</v>
      </c>
      <c r="Z43" s="111"/>
      <c r="AA43" s="149"/>
    </row>
    <row r="44" spans="3:29" x14ac:dyDescent="0.3">
      <c r="C44" s="361" t="s">
        <v>56</v>
      </c>
      <c r="D44" s="8"/>
      <c r="E44" s="241">
        <v>0.02</v>
      </c>
      <c r="F44" s="185"/>
      <c r="G44" s="216"/>
      <c r="H44" s="216"/>
      <c r="I44" s="185">
        <f>ROUNDUP($I$36*E44, -2)</f>
        <v>15000</v>
      </c>
      <c r="J44" s="117"/>
      <c r="K44" s="176"/>
      <c r="L44" s="111"/>
      <c r="M44" s="208">
        <v>0.04</v>
      </c>
      <c r="N44" s="218"/>
      <c r="O44" s="190"/>
      <c r="P44" s="190"/>
      <c r="Q44" s="185">
        <f>ROUNDUP(Q$36*M44, -2)</f>
        <v>361500</v>
      </c>
      <c r="R44" s="111"/>
      <c r="S44" s="254"/>
      <c r="T44" s="4"/>
      <c r="U44" s="208">
        <v>0.04</v>
      </c>
      <c r="V44" s="218"/>
      <c r="W44" s="190"/>
      <c r="X44" s="190"/>
      <c r="Y44" s="185">
        <f>ROUNDUP(Y$36*U44, -2)</f>
        <v>802200</v>
      </c>
      <c r="Z44" s="111"/>
      <c r="AA44" s="146"/>
    </row>
    <row r="45" spans="3:29" x14ac:dyDescent="0.3">
      <c r="C45" s="359" t="s">
        <v>105</v>
      </c>
      <c r="D45" s="10"/>
      <c r="E45" s="245"/>
      <c r="F45" s="246"/>
      <c r="G45" s="247"/>
      <c r="H45" s="247"/>
      <c r="I45" s="192">
        <f>SUM(I39:I44)</f>
        <v>291200</v>
      </c>
      <c r="J45" s="117"/>
      <c r="K45" s="175"/>
      <c r="L45" s="4"/>
      <c r="M45" s="202"/>
      <c r="N45" s="190"/>
      <c r="O45" s="190"/>
      <c r="P45" s="190"/>
      <c r="Q45" s="192">
        <f>ROUND(SUM(Q39:Q44), -2)</f>
        <v>2098400</v>
      </c>
      <c r="R45" s="136"/>
      <c r="S45" s="254"/>
      <c r="T45" s="4"/>
      <c r="U45" s="202"/>
      <c r="V45" s="190"/>
      <c r="W45" s="190"/>
      <c r="X45" s="190"/>
      <c r="Y45" s="192">
        <f>ROUND(SUM(Y39:Y44), -2)</f>
        <v>3630100</v>
      </c>
      <c r="Z45" s="136"/>
      <c r="AA45" s="146"/>
    </row>
    <row r="46" spans="3:29" ht="15.5" x14ac:dyDescent="0.35">
      <c r="C46" s="364"/>
      <c r="D46" s="8"/>
      <c r="E46" s="205"/>
      <c r="F46" s="185"/>
      <c r="G46" s="216"/>
      <c r="H46" s="216"/>
      <c r="I46" s="185"/>
      <c r="J46" s="117"/>
      <c r="K46" s="175"/>
      <c r="L46" s="4"/>
      <c r="M46" s="202"/>
      <c r="N46" s="190"/>
      <c r="O46" s="190"/>
      <c r="P46" s="190"/>
      <c r="Q46" s="185"/>
      <c r="R46" s="111"/>
      <c r="S46" s="254"/>
      <c r="T46" s="4"/>
      <c r="U46" s="202"/>
      <c r="V46" s="190"/>
      <c r="W46" s="190"/>
      <c r="X46" s="190"/>
      <c r="Y46" s="185"/>
      <c r="Z46" s="111"/>
      <c r="AA46" s="146"/>
    </row>
    <row r="47" spans="3:29" ht="15.5" x14ac:dyDescent="0.35">
      <c r="C47" s="365" t="s">
        <v>107</v>
      </c>
      <c r="D47" s="16"/>
      <c r="E47" s="248"/>
      <c r="F47" s="193"/>
      <c r="G47" s="249"/>
      <c r="H47" s="249"/>
      <c r="I47" s="193">
        <f>SUM(I36+I45)</f>
        <v>1040500</v>
      </c>
      <c r="J47" s="117"/>
      <c r="K47" s="175"/>
      <c r="L47" s="4"/>
      <c r="M47" s="202"/>
      <c r="N47" s="190"/>
      <c r="O47" s="32"/>
      <c r="P47" s="190"/>
      <c r="Q47" s="193">
        <f>SUM(Q36+Q45)</f>
        <v>11134400</v>
      </c>
      <c r="R47" s="16"/>
      <c r="S47" s="254"/>
      <c r="T47" s="4"/>
      <c r="U47" s="202"/>
      <c r="V47" s="190"/>
      <c r="W47" s="32"/>
      <c r="X47" s="190"/>
      <c r="Y47" s="193">
        <f>SUM(Y36+Y45)</f>
        <v>23684800</v>
      </c>
      <c r="Z47" s="16"/>
      <c r="AA47" s="146"/>
    </row>
    <row r="48" spans="3:29" ht="15.5" x14ac:dyDescent="0.35">
      <c r="C48" s="366"/>
      <c r="D48" s="16"/>
      <c r="E48" s="248"/>
      <c r="F48" s="193"/>
      <c r="G48" s="249"/>
      <c r="H48" s="249"/>
      <c r="I48" s="193"/>
      <c r="J48" s="117"/>
      <c r="K48" s="175"/>
      <c r="L48" s="4"/>
      <c r="M48" s="202"/>
      <c r="N48" s="190"/>
      <c r="O48" s="32"/>
      <c r="P48" s="190"/>
      <c r="Q48" s="193"/>
      <c r="R48" s="16"/>
      <c r="S48" s="254"/>
      <c r="T48" s="4"/>
      <c r="U48" s="202"/>
      <c r="V48" s="190"/>
      <c r="W48" s="32"/>
      <c r="X48" s="190"/>
      <c r="Y48" s="193"/>
      <c r="Z48" s="16"/>
      <c r="AA48" s="146"/>
    </row>
    <row r="49" spans="3:29" ht="70" x14ac:dyDescent="0.3">
      <c r="C49" s="367" t="s">
        <v>81</v>
      </c>
      <c r="D49" s="16"/>
      <c r="E49" s="140"/>
      <c r="F49" s="37"/>
      <c r="G49" s="37"/>
      <c r="H49" s="37"/>
      <c r="I49" s="37"/>
      <c r="J49" s="117"/>
      <c r="K49" s="175"/>
      <c r="L49" s="4"/>
      <c r="M49" s="202"/>
      <c r="N49" s="190"/>
      <c r="O49" s="190"/>
      <c r="P49" s="190"/>
      <c r="Q49" s="190"/>
      <c r="R49" s="4"/>
      <c r="S49" s="254"/>
      <c r="T49" s="4"/>
      <c r="U49" s="202"/>
      <c r="V49" s="190"/>
      <c r="W49" s="190"/>
      <c r="X49" s="190"/>
      <c r="Y49" s="221"/>
      <c r="Z49" s="3"/>
      <c r="AA49" s="149"/>
    </row>
    <row r="50" spans="3:29" x14ac:dyDescent="0.3">
      <c r="C50" s="368"/>
      <c r="D50" s="8"/>
      <c r="E50" s="205"/>
      <c r="F50" s="185"/>
      <c r="G50" s="216"/>
      <c r="H50" s="216"/>
      <c r="I50" s="185"/>
      <c r="J50" s="117"/>
      <c r="K50" s="175"/>
      <c r="L50" s="4"/>
      <c r="M50" s="203"/>
      <c r="N50" s="195"/>
      <c r="O50" s="195"/>
      <c r="P50" s="195"/>
      <c r="Q50" s="195"/>
      <c r="R50" s="155"/>
      <c r="S50" s="259"/>
      <c r="T50" s="4"/>
      <c r="U50" s="203"/>
      <c r="V50" s="195"/>
      <c r="W50" s="195"/>
      <c r="X50" s="195"/>
      <c r="Y50" s="222"/>
      <c r="Z50" s="158"/>
      <c r="AA50" s="159"/>
    </row>
    <row r="51" spans="3:29" s="3" customFormat="1" ht="15.5" x14ac:dyDescent="0.35">
      <c r="C51" s="365" t="s">
        <v>106</v>
      </c>
      <c r="D51" s="116"/>
      <c r="E51" s="213"/>
      <c r="F51" s="223"/>
      <c r="G51" s="224"/>
      <c r="H51" s="224"/>
      <c r="I51" s="194">
        <f>SUM(I54+I55+I53)</f>
        <v>1040500</v>
      </c>
      <c r="J51" s="154"/>
      <c r="K51" s="177"/>
      <c r="L51" s="4"/>
      <c r="M51" s="211"/>
      <c r="N51" s="227"/>
      <c r="O51" s="228"/>
      <c r="P51" s="228"/>
      <c r="Q51" s="199">
        <f>SUM(Q54+Q55+Q53)</f>
        <v>11134400</v>
      </c>
      <c r="R51" s="4"/>
      <c r="S51" s="264"/>
      <c r="T51" s="4"/>
      <c r="U51" s="213"/>
      <c r="V51" s="223"/>
      <c r="W51" s="224"/>
      <c r="X51" s="224"/>
      <c r="Y51" s="194">
        <f>SUM(Y54+Y55+Y53)</f>
        <v>23684800</v>
      </c>
      <c r="Z51" s="157"/>
      <c r="AA51" s="160"/>
    </row>
    <row r="52" spans="3:29" ht="15.5" x14ac:dyDescent="0.35">
      <c r="C52" s="366"/>
      <c r="D52" s="8"/>
      <c r="E52" s="205" t="s">
        <v>47</v>
      </c>
      <c r="F52" s="185"/>
      <c r="G52" s="216"/>
      <c r="H52" s="216"/>
      <c r="I52" s="185"/>
      <c r="J52" s="117"/>
      <c r="K52" s="175"/>
      <c r="L52" s="4"/>
      <c r="M52" s="205" t="s">
        <v>47</v>
      </c>
      <c r="N52" s="185"/>
      <c r="O52" s="216"/>
      <c r="P52" s="216"/>
      <c r="Q52" s="185"/>
      <c r="R52" s="4"/>
      <c r="S52" s="254"/>
      <c r="T52" s="4"/>
      <c r="U52" s="205" t="s">
        <v>47</v>
      </c>
      <c r="V52" s="185"/>
      <c r="W52" s="216"/>
      <c r="X52" s="216"/>
      <c r="Y52" s="185"/>
      <c r="Z52" s="3"/>
      <c r="AA52" s="149"/>
    </row>
    <row r="53" spans="3:29" x14ac:dyDescent="0.3">
      <c r="C53" s="358" t="s">
        <v>48</v>
      </c>
      <c r="D53" s="8"/>
      <c r="E53" s="250">
        <v>0.15</v>
      </c>
      <c r="F53" s="185"/>
      <c r="G53" s="216"/>
      <c r="H53" s="216"/>
      <c r="I53" s="185">
        <f>(I$47*E53)</f>
        <v>156075</v>
      </c>
      <c r="J53" s="117"/>
      <c r="K53" s="175"/>
      <c r="L53" s="4"/>
      <c r="M53" s="250">
        <v>0.15</v>
      </c>
      <c r="N53" s="185"/>
      <c r="O53" s="216"/>
      <c r="P53" s="216"/>
      <c r="Q53" s="185">
        <f>SUM(Q$47*M53)</f>
        <v>1670160</v>
      </c>
      <c r="R53" s="4"/>
      <c r="S53" s="254"/>
      <c r="T53" s="4"/>
      <c r="U53" s="250">
        <v>0.15</v>
      </c>
      <c r="V53" s="185"/>
      <c r="W53" s="216"/>
      <c r="X53" s="216"/>
      <c r="Y53" s="185">
        <f>(Y$47*U53)</f>
        <v>3552720</v>
      </c>
      <c r="Z53" s="3"/>
      <c r="AA53" s="149"/>
    </row>
    <row r="54" spans="3:29" s="6" customFormat="1" x14ac:dyDescent="0.3">
      <c r="C54" s="358" t="s">
        <v>49</v>
      </c>
      <c r="D54" s="8"/>
      <c r="E54" s="250">
        <v>0.2</v>
      </c>
      <c r="F54" s="185"/>
      <c r="G54" s="216"/>
      <c r="H54" s="216"/>
      <c r="I54" s="185">
        <f>(I$47*E54)</f>
        <v>208100</v>
      </c>
      <c r="J54" s="141"/>
      <c r="K54" s="178"/>
      <c r="L54" s="142"/>
      <c r="M54" s="250">
        <v>0.2</v>
      </c>
      <c r="N54" s="185"/>
      <c r="O54" s="216"/>
      <c r="P54" s="216"/>
      <c r="Q54" s="185">
        <f>SUM(Q$47*M54)</f>
        <v>2226880</v>
      </c>
      <c r="R54" s="142"/>
      <c r="S54" s="262"/>
      <c r="T54" s="142"/>
      <c r="U54" s="250">
        <v>0.2</v>
      </c>
      <c r="V54" s="185"/>
      <c r="W54" s="216"/>
      <c r="X54" s="216"/>
      <c r="Y54" s="185">
        <f>(Y$47*U54)</f>
        <v>4736960</v>
      </c>
      <c r="Z54" s="150"/>
      <c r="AA54" s="151"/>
      <c r="AB54" s="150"/>
      <c r="AC54" s="150"/>
    </row>
    <row r="55" spans="3:29" s="6" customFormat="1" x14ac:dyDescent="0.3">
      <c r="C55" s="369" t="s">
        <v>70</v>
      </c>
      <c r="D55" s="8"/>
      <c r="E55" s="250">
        <v>0.65</v>
      </c>
      <c r="F55" s="185"/>
      <c r="G55" s="216"/>
      <c r="H55" s="216"/>
      <c r="I55" s="185">
        <f>(I$47*E55)</f>
        <v>676325</v>
      </c>
      <c r="J55" s="141"/>
      <c r="K55" s="391"/>
      <c r="L55" s="142"/>
      <c r="M55" s="250">
        <v>0.65</v>
      </c>
      <c r="N55" s="185"/>
      <c r="O55" s="216"/>
      <c r="P55" s="216"/>
      <c r="Q55" s="185">
        <f>SUM(Q$47*M55)</f>
        <v>7237360</v>
      </c>
      <c r="R55" s="142"/>
      <c r="S55" s="391"/>
      <c r="T55" s="142"/>
      <c r="U55" s="250">
        <v>0.65</v>
      </c>
      <c r="V55" s="185"/>
      <c r="W55" s="216"/>
      <c r="X55" s="216"/>
      <c r="Y55" s="185">
        <f>(Y$47*U55)</f>
        <v>15395120</v>
      </c>
      <c r="Z55" s="109"/>
      <c r="AA55" s="391"/>
      <c r="AB55" s="150"/>
      <c r="AC55" s="150"/>
    </row>
    <row r="56" spans="3:29" ht="120" customHeight="1" x14ac:dyDescent="0.3">
      <c r="E56" s="423" t="s">
        <v>103</v>
      </c>
      <c r="F56" s="424"/>
      <c r="G56" s="424"/>
      <c r="H56" s="424"/>
      <c r="I56" s="424"/>
      <c r="J56" s="424"/>
      <c r="K56" s="425"/>
      <c r="L56" s="4"/>
      <c r="M56" s="423" t="s">
        <v>119</v>
      </c>
      <c r="N56" s="424"/>
      <c r="O56" s="424"/>
      <c r="P56" s="424"/>
      <c r="Q56" s="424"/>
      <c r="R56" s="424"/>
      <c r="S56" s="425"/>
      <c r="T56" s="4"/>
      <c r="U56" s="423" t="s">
        <v>119</v>
      </c>
      <c r="V56" s="424"/>
      <c r="W56" s="424"/>
      <c r="X56" s="424"/>
      <c r="Y56" s="424"/>
      <c r="Z56" s="424"/>
      <c r="AA56" s="425"/>
    </row>
    <row r="57" spans="3:29" s="3" customFormat="1" x14ac:dyDescent="0.3">
      <c r="C57" s="372"/>
      <c r="D57" s="373"/>
      <c r="E57" s="374"/>
      <c r="F57" s="374"/>
      <c r="G57" s="216"/>
      <c r="H57" s="216"/>
      <c r="I57" s="374"/>
      <c r="J57" s="117"/>
      <c r="K57" s="375"/>
      <c r="L57" s="4"/>
      <c r="M57" s="190"/>
      <c r="N57" s="190"/>
      <c r="O57" s="190"/>
      <c r="P57" s="190"/>
      <c r="Q57" s="190"/>
      <c r="R57" s="4"/>
      <c r="S57" s="376"/>
      <c r="T57" s="4"/>
      <c r="U57" s="190"/>
      <c r="V57" s="190"/>
      <c r="W57" s="190"/>
      <c r="X57" s="190"/>
      <c r="Y57" s="221"/>
      <c r="AA57" s="377"/>
    </row>
    <row r="58" spans="3:29" s="3" customFormat="1" x14ac:dyDescent="0.3">
      <c r="C58" s="372"/>
      <c r="D58" s="373"/>
      <c r="E58" s="374"/>
      <c r="F58" s="374"/>
      <c r="G58" s="216"/>
      <c r="H58" s="216"/>
      <c r="I58" s="374"/>
      <c r="J58" s="117"/>
      <c r="K58" s="375"/>
      <c r="L58" s="4"/>
      <c r="M58" s="190"/>
      <c r="N58" s="190"/>
      <c r="O58" s="190"/>
      <c r="P58" s="190"/>
      <c r="Q58" s="190"/>
      <c r="R58" s="4"/>
      <c r="S58" s="376"/>
      <c r="T58" s="4"/>
      <c r="U58" s="190"/>
      <c r="V58" s="190"/>
      <c r="W58" s="190"/>
      <c r="X58" s="190"/>
      <c r="Y58" s="221"/>
      <c r="AA58" s="377"/>
    </row>
    <row r="59" spans="3:29" s="3" customFormat="1" x14ac:dyDescent="0.3">
      <c r="C59" s="372"/>
      <c r="D59" s="378"/>
      <c r="E59" s="106"/>
      <c r="F59" s="106"/>
      <c r="G59" s="216"/>
      <c r="H59" s="216"/>
      <c r="I59" s="106"/>
      <c r="J59" s="117"/>
      <c r="K59" s="375"/>
      <c r="L59" s="4"/>
      <c r="M59" s="190"/>
      <c r="N59" s="190"/>
      <c r="O59" s="190"/>
      <c r="P59" s="190"/>
      <c r="Q59" s="190"/>
      <c r="R59" s="4"/>
      <c r="S59" s="376"/>
      <c r="T59" s="4"/>
      <c r="U59" s="190"/>
      <c r="V59" s="190"/>
      <c r="W59" s="190"/>
      <c r="X59" s="190"/>
      <c r="Y59" s="221"/>
      <c r="AA59" s="377"/>
    </row>
    <row r="60" spans="3:29" s="3" customFormat="1" x14ac:dyDescent="0.3">
      <c r="C60" s="221"/>
      <c r="D60" s="4"/>
      <c r="E60" s="190"/>
      <c r="F60" s="190"/>
      <c r="G60" s="190"/>
      <c r="H60" s="190"/>
      <c r="I60" s="190"/>
      <c r="J60" s="379"/>
      <c r="K60" s="380"/>
      <c r="L60" s="4"/>
      <c r="M60" s="190"/>
      <c r="N60" s="190"/>
      <c r="O60" s="190"/>
      <c r="P60" s="190"/>
      <c r="Q60" s="190"/>
      <c r="R60" s="4"/>
      <c r="S60" s="376"/>
      <c r="T60" s="4"/>
      <c r="U60" s="190"/>
      <c r="V60" s="190"/>
      <c r="W60" s="190"/>
      <c r="X60" s="190"/>
      <c r="Y60" s="221"/>
      <c r="AA60" s="377"/>
    </row>
    <row r="61" spans="3:29" s="293" customFormat="1" x14ac:dyDescent="0.3">
      <c r="C61" s="381"/>
      <c r="D61" s="382"/>
      <c r="E61" s="383"/>
      <c r="F61" s="383"/>
      <c r="G61" s="383"/>
      <c r="H61" s="383"/>
      <c r="I61" s="383"/>
      <c r="J61" s="384"/>
      <c r="K61" s="385"/>
      <c r="L61" s="382"/>
      <c r="M61" s="383"/>
      <c r="N61" s="383"/>
      <c r="O61" s="383"/>
      <c r="P61" s="383"/>
      <c r="Q61" s="383"/>
      <c r="R61" s="382"/>
      <c r="S61" s="386"/>
      <c r="T61" s="382"/>
      <c r="U61" s="383"/>
      <c r="V61" s="383"/>
      <c r="W61" s="383"/>
      <c r="X61" s="383"/>
      <c r="Y61" s="381"/>
      <c r="AA61" s="387"/>
    </row>
    <row r="62" spans="3:29" s="3" customFormat="1" x14ac:dyDescent="0.3">
      <c r="C62" s="221"/>
      <c r="D62" s="4"/>
      <c r="E62" s="190"/>
      <c r="F62" s="190"/>
      <c r="G62" s="190"/>
      <c r="H62" s="190"/>
      <c r="I62" s="190"/>
      <c r="J62" s="388"/>
      <c r="K62" s="389"/>
      <c r="L62" s="4"/>
      <c r="M62" s="190"/>
      <c r="N62" s="190"/>
      <c r="O62" s="190"/>
      <c r="P62" s="190"/>
      <c r="Q62" s="190"/>
      <c r="R62" s="4"/>
      <c r="S62" s="376"/>
      <c r="T62" s="4"/>
      <c r="U62" s="190"/>
      <c r="V62" s="190"/>
      <c r="W62" s="190"/>
      <c r="X62" s="190"/>
      <c r="Y62" s="221"/>
      <c r="AA62" s="377"/>
    </row>
    <row r="63" spans="3:29" s="3" customFormat="1" x14ac:dyDescent="0.3">
      <c r="C63" s="221"/>
      <c r="D63" s="4"/>
      <c r="E63" s="190"/>
      <c r="F63" s="190"/>
      <c r="G63" s="190"/>
      <c r="H63" s="190"/>
      <c r="I63" s="190"/>
      <c r="J63" s="388"/>
      <c r="K63" s="389"/>
      <c r="L63" s="4"/>
      <c r="M63" s="190"/>
      <c r="N63" s="190"/>
      <c r="O63" s="190"/>
      <c r="P63" s="190"/>
      <c r="Q63" s="190"/>
      <c r="R63" s="4"/>
      <c r="S63" s="376"/>
      <c r="T63" s="4"/>
      <c r="U63" s="190"/>
      <c r="V63" s="190"/>
      <c r="W63" s="190"/>
      <c r="X63" s="190"/>
      <c r="Y63" s="221"/>
      <c r="AA63" s="377"/>
    </row>
    <row r="64" spans="3:29" s="3" customFormat="1" x14ac:dyDescent="0.3">
      <c r="C64" s="221"/>
      <c r="D64" s="4"/>
      <c r="E64" s="190"/>
      <c r="F64" s="190"/>
      <c r="G64" s="190"/>
      <c r="H64" s="190"/>
      <c r="I64" s="190"/>
      <c r="J64" s="131"/>
      <c r="K64" s="109"/>
      <c r="L64" s="4"/>
      <c r="M64" s="190"/>
      <c r="N64" s="190"/>
      <c r="O64" s="190"/>
      <c r="P64" s="190"/>
      <c r="Q64" s="190"/>
      <c r="R64" s="4"/>
      <c r="S64" s="376"/>
      <c r="T64" s="4"/>
      <c r="U64" s="190"/>
      <c r="V64" s="190"/>
      <c r="W64" s="190"/>
      <c r="X64" s="190"/>
      <c r="Y64" s="221"/>
      <c r="AA64" s="377"/>
    </row>
    <row r="65" spans="3:27" s="3" customFormat="1" x14ac:dyDescent="0.3">
      <c r="C65" s="372"/>
      <c r="D65" s="378"/>
      <c r="E65" s="106"/>
      <c r="F65" s="106"/>
      <c r="G65" s="216"/>
      <c r="H65" s="216"/>
      <c r="I65" s="106"/>
      <c r="J65" s="131"/>
      <c r="K65" s="109"/>
      <c r="L65" s="4"/>
      <c r="M65" s="190"/>
      <c r="N65" s="190"/>
      <c r="O65" s="190"/>
      <c r="P65" s="190"/>
      <c r="Q65" s="190"/>
      <c r="R65" s="4"/>
      <c r="S65" s="376"/>
      <c r="T65" s="4"/>
      <c r="U65" s="190"/>
      <c r="V65" s="190"/>
      <c r="W65" s="190"/>
      <c r="X65" s="190"/>
      <c r="Y65" s="221"/>
      <c r="AA65" s="377"/>
    </row>
    <row r="66" spans="3:27" s="3" customFormat="1" x14ac:dyDescent="0.3">
      <c r="C66" s="221"/>
      <c r="D66" s="4"/>
      <c r="E66" s="190"/>
      <c r="F66" s="190"/>
      <c r="G66" s="240"/>
      <c r="H66" s="240"/>
      <c r="I66" s="190"/>
      <c r="K66" s="390"/>
      <c r="L66" s="4"/>
      <c r="M66" s="190"/>
      <c r="N66" s="190"/>
      <c r="O66" s="190"/>
      <c r="P66" s="190"/>
      <c r="Q66" s="190"/>
      <c r="R66" s="4"/>
      <c r="S66" s="376"/>
      <c r="T66" s="4"/>
      <c r="U66" s="190"/>
      <c r="V66" s="190"/>
      <c r="W66" s="190"/>
      <c r="X66" s="190"/>
      <c r="Y66" s="221"/>
      <c r="AA66" s="377"/>
    </row>
    <row r="67" spans="3:27" s="3" customFormat="1" x14ac:dyDescent="0.3">
      <c r="C67" s="221"/>
      <c r="D67" s="4"/>
      <c r="E67" s="190"/>
      <c r="F67" s="190"/>
      <c r="G67" s="240"/>
      <c r="H67" s="240"/>
      <c r="I67" s="190"/>
      <c r="K67" s="390"/>
      <c r="L67" s="4"/>
      <c r="M67" s="190"/>
      <c r="N67" s="190"/>
      <c r="O67" s="190"/>
      <c r="P67" s="190"/>
      <c r="Q67" s="190"/>
      <c r="R67" s="4"/>
      <c r="S67" s="376"/>
      <c r="T67" s="4"/>
      <c r="U67" s="190"/>
      <c r="V67" s="190"/>
      <c r="W67" s="190"/>
      <c r="X67" s="190"/>
      <c r="Y67" s="221"/>
      <c r="AA67" s="377"/>
    </row>
    <row r="68" spans="3:27" s="3" customFormat="1" x14ac:dyDescent="0.3">
      <c r="C68" s="221"/>
      <c r="D68" s="4"/>
      <c r="E68" s="190"/>
      <c r="F68" s="190"/>
      <c r="G68" s="240"/>
      <c r="H68" s="240"/>
      <c r="I68" s="190"/>
      <c r="K68" s="390"/>
      <c r="L68" s="4"/>
      <c r="M68" s="190"/>
      <c r="N68" s="190"/>
      <c r="O68" s="190"/>
      <c r="P68" s="190"/>
      <c r="Q68" s="190"/>
      <c r="R68" s="4"/>
      <c r="S68" s="376"/>
      <c r="T68" s="4"/>
      <c r="U68" s="190"/>
      <c r="V68" s="190"/>
      <c r="W68" s="190"/>
      <c r="X68" s="190"/>
      <c r="Y68" s="221"/>
      <c r="AA68" s="377"/>
    </row>
    <row r="69" spans="3:27" s="3" customFormat="1" x14ac:dyDescent="0.3">
      <c r="C69" s="221"/>
      <c r="D69" s="4"/>
      <c r="E69" s="190"/>
      <c r="F69" s="190"/>
      <c r="G69" s="240"/>
      <c r="H69" s="240"/>
      <c r="I69" s="190"/>
      <c r="K69" s="390"/>
      <c r="L69" s="4"/>
      <c r="M69" s="190"/>
      <c r="N69" s="190"/>
      <c r="O69" s="190"/>
      <c r="P69" s="190"/>
      <c r="Q69" s="190"/>
      <c r="R69" s="4"/>
      <c r="S69" s="376"/>
      <c r="T69" s="4"/>
      <c r="U69" s="190"/>
      <c r="V69" s="190"/>
      <c r="W69" s="190"/>
      <c r="X69" s="190"/>
      <c r="Y69" s="221"/>
      <c r="AA69" s="377"/>
    </row>
    <row r="70" spans="3:27" s="3" customFormat="1" x14ac:dyDescent="0.3">
      <c r="C70" s="221"/>
      <c r="D70" s="4"/>
      <c r="E70" s="190"/>
      <c r="F70" s="190"/>
      <c r="G70" s="240"/>
      <c r="H70" s="240"/>
      <c r="I70" s="190"/>
      <c r="K70" s="390"/>
      <c r="L70" s="4"/>
      <c r="M70" s="190"/>
      <c r="N70" s="190"/>
      <c r="O70" s="190"/>
      <c r="P70" s="190"/>
      <c r="Q70" s="190"/>
      <c r="R70" s="4"/>
      <c r="S70" s="376"/>
      <c r="T70" s="4"/>
      <c r="U70" s="190"/>
      <c r="V70" s="190"/>
      <c r="W70" s="190"/>
      <c r="X70" s="190"/>
      <c r="Y70" s="221"/>
      <c r="AA70" s="377"/>
    </row>
    <row r="71" spans="3:27" s="3" customFormat="1" x14ac:dyDescent="0.3">
      <c r="C71" s="221"/>
      <c r="D71" s="4"/>
      <c r="E71" s="190"/>
      <c r="F71" s="190"/>
      <c r="G71" s="240"/>
      <c r="H71" s="240"/>
      <c r="I71" s="190"/>
      <c r="K71" s="390"/>
      <c r="L71" s="4"/>
      <c r="M71" s="190"/>
      <c r="N71" s="190"/>
      <c r="O71" s="190"/>
      <c r="P71" s="190"/>
      <c r="Q71" s="190"/>
      <c r="R71" s="4"/>
      <c r="S71" s="376"/>
      <c r="T71" s="4"/>
      <c r="U71" s="190"/>
      <c r="V71" s="190"/>
      <c r="W71" s="190"/>
      <c r="X71" s="190"/>
      <c r="Y71" s="221"/>
      <c r="AA71" s="377"/>
    </row>
    <row r="72" spans="3:27" s="3" customFormat="1" x14ac:dyDescent="0.3">
      <c r="C72" s="221"/>
      <c r="D72" s="4"/>
      <c r="E72" s="190"/>
      <c r="F72" s="190"/>
      <c r="G72" s="240"/>
      <c r="H72" s="240"/>
      <c r="I72" s="190"/>
      <c r="K72" s="390"/>
      <c r="L72" s="4"/>
      <c r="M72" s="190"/>
      <c r="N72" s="190"/>
      <c r="O72" s="190"/>
      <c r="P72" s="190"/>
      <c r="Q72" s="190"/>
      <c r="R72" s="4"/>
      <c r="S72" s="376"/>
      <c r="T72" s="4"/>
      <c r="U72" s="190"/>
      <c r="V72" s="190"/>
      <c r="W72" s="190"/>
      <c r="X72" s="190"/>
      <c r="Y72" s="221"/>
      <c r="AA72" s="377"/>
    </row>
    <row r="73" spans="3:27" s="3" customFormat="1" x14ac:dyDescent="0.3">
      <c r="C73" s="221"/>
      <c r="D73" s="4"/>
      <c r="E73" s="190"/>
      <c r="F73" s="190"/>
      <c r="G73" s="240"/>
      <c r="H73" s="240"/>
      <c r="I73" s="190"/>
      <c r="K73" s="390"/>
      <c r="L73" s="4"/>
      <c r="M73" s="190"/>
      <c r="N73" s="190"/>
      <c r="O73" s="190"/>
      <c r="P73" s="190"/>
      <c r="Q73" s="190"/>
      <c r="R73" s="4"/>
      <c r="S73" s="376"/>
      <c r="T73" s="4"/>
      <c r="U73" s="190"/>
      <c r="V73" s="190"/>
      <c r="W73" s="190"/>
      <c r="X73" s="190"/>
      <c r="Y73" s="221"/>
      <c r="AA73" s="377"/>
    </row>
    <row r="74" spans="3:27" s="3" customFormat="1" x14ac:dyDescent="0.3">
      <c r="C74" s="221"/>
      <c r="D74" s="4"/>
      <c r="E74" s="190"/>
      <c r="F74" s="190"/>
      <c r="G74" s="240"/>
      <c r="H74" s="240"/>
      <c r="I74" s="190"/>
      <c r="K74" s="390"/>
      <c r="L74" s="4"/>
      <c r="M74" s="190"/>
      <c r="N74" s="190"/>
      <c r="O74" s="190"/>
      <c r="P74" s="190"/>
      <c r="Q74" s="190"/>
      <c r="R74" s="4"/>
      <c r="S74" s="376"/>
      <c r="T74" s="4"/>
      <c r="U74" s="190"/>
      <c r="V74" s="190"/>
      <c r="W74" s="190"/>
      <c r="X74" s="190"/>
      <c r="Y74" s="221"/>
      <c r="AA74" s="377"/>
    </row>
    <row r="75" spans="3:27" s="3" customFormat="1" x14ac:dyDescent="0.3">
      <c r="C75" s="221"/>
      <c r="D75" s="4"/>
      <c r="E75" s="190"/>
      <c r="F75" s="190"/>
      <c r="G75" s="240"/>
      <c r="H75" s="240"/>
      <c r="I75" s="190"/>
      <c r="K75" s="390"/>
      <c r="L75" s="4"/>
      <c r="M75" s="190"/>
      <c r="N75" s="190"/>
      <c r="O75" s="190"/>
      <c r="P75" s="190"/>
      <c r="Q75" s="190"/>
      <c r="R75" s="4"/>
      <c r="S75" s="376"/>
      <c r="T75" s="4"/>
      <c r="U75" s="190"/>
      <c r="V75" s="190"/>
      <c r="W75" s="190"/>
      <c r="X75" s="190"/>
      <c r="Y75" s="221"/>
      <c r="AA75" s="377"/>
    </row>
    <row r="76" spans="3:27" s="3" customFormat="1" x14ac:dyDescent="0.3">
      <c r="C76" s="221"/>
      <c r="D76" s="4"/>
      <c r="E76" s="190"/>
      <c r="F76" s="190"/>
      <c r="G76" s="240"/>
      <c r="H76" s="240"/>
      <c r="I76" s="190"/>
      <c r="K76" s="390"/>
      <c r="L76" s="4"/>
      <c r="M76" s="190"/>
      <c r="N76" s="190"/>
      <c r="O76" s="190"/>
      <c r="P76" s="190"/>
      <c r="Q76" s="190"/>
      <c r="R76" s="4"/>
      <c r="S76" s="376"/>
      <c r="T76" s="4"/>
      <c r="U76" s="190"/>
      <c r="V76" s="190"/>
      <c r="W76" s="190"/>
      <c r="X76" s="190"/>
      <c r="Y76" s="221"/>
      <c r="AA76" s="377"/>
    </row>
    <row r="77" spans="3:27" s="3" customFormat="1" x14ac:dyDescent="0.3">
      <c r="C77" s="221"/>
      <c r="D77" s="4"/>
      <c r="E77" s="190"/>
      <c r="F77" s="190"/>
      <c r="G77" s="240"/>
      <c r="H77" s="240"/>
      <c r="I77" s="190"/>
      <c r="K77" s="390"/>
      <c r="L77" s="4"/>
      <c r="M77" s="190"/>
      <c r="N77" s="190"/>
      <c r="O77" s="190"/>
      <c r="P77" s="190"/>
      <c r="Q77" s="190"/>
      <c r="R77" s="4"/>
      <c r="S77" s="376"/>
      <c r="T77" s="4"/>
      <c r="U77" s="190"/>
      <c r="V77" s="190"/>
      <c r="W77" s="190"/>
      <c r="X77" s="190"/>
      <c r="Y77" s="221"/>
      <c r="AA77" s="377"/>
    </row>
    <row r="78" spans="3:27" s="3" customFormat="1" x14ac:dyDescent="0.3">
      <c r="C78" s="221"/>
      <c r="D78" s="4"/>
      <c r="E78" s="190"/>
      <c r="F78" s="190"/>
      <c r="G78" s="240"/>
      <c r="H78" s="240"/>
      <c r="I78" s="190"/>
      <c r="K78" s="390"/>
      <c r="L78" s="4"/>
      <c r="M78" s="190"/>
      <c r="N78" s="190"/>
      <c r="O78" s="190"/>
      <c r="P78" s="190"/>
      <c r="Q78" s="190"/>
      <c r="R78" s="4"/>
      <c r="S78" s="376"/>
      <c r="T78" s="4"/>
      <c r="U78" s="190"/>
      <c r="V78" s="190"/>
      <c r="W78" s="190"/>
      <c r="X78" s="190"/>
      <c r="Y78" s="221"/>
      <c r="AA78" s="377"/>
    </row>
    <row r="79" spans="3:27" s="3" customFormat="1" x14ac:dyDescent="0.3">
      <c r="C79" s="221"/>
      <c r="D79" s="4"/>
      <c r="E79" s="190"/>
      <c r="F79" s="190"/>
      <c r="G79" s="240"/>
      <c r="H79" s="240"/>
      <c r="I79" s="190"/>
      <c r="K79" s="390"/>
      <c r="L79" s="4"/>
      <c r="M79" s="190"/>
      <c r="N79" s="190"/>
      <c r="O79" s="190"/>
      <c r="P79" s="190"/>
      <c r="Q79" s="190"/>
      <c r="R79" s="4"/>
      <c r="S79" s="376"/>
      <c r="T79" s="4"/>
      <c r="U79" s="190"/>
      <c r="V79" s="190"/>
      <c r="W79" s="190"/>
      <c r="X79" s="190"/>
      <c r="Y79" s="221"/>
      <c r="AA79" s="377"/>
    </row>
    <row r="80" spans="3:27" s="3" customFormat="1" x14ac:dyDescent="0.3">
      <c r="C80" s="221"/>
      <c r="D80" s="4"/>
      <c r="E80" s="190"/>
      <c r="F80" s="190"/>
      <c r="G80" s="240"/>
      <c r="H80" s="240"/>
      <c r="I80" s="190"/>
      <c r="K80" s="390"/>
      <c r="L80" s="4"/>
      <c r="M80" s="190"/>
      <c r="N80" s="190"/>
      <c r="O80" s="190"/>
      <c r="P80" s="190"/>
      <c r="Q80" s="190"/>
      <c r="R80" s="4"/>
      <c r="S80" s="376"/>
      <c r="T80" s="4"/>
      <c r="U80" s="190"/>
      <c r="V80" s="190"/>
      <c r="W80" s="190"/>
      <c r="X80" s="190"/>
      <c r="Y80" s="221"/>
      <c r="AA80" s="377"/>
    </row>
    <row r="81" spans="3:27" s="3" customFormat="1" x14ac:dyDescent="0.3">
      <c r="C81" s="221"/>
      <c r="D81" s="4"/>
      <c r="E81" s="190"/>
      <c r="F81" s="190"/>
      <c r="G81" s="240"/>
      <c r="H81" s="240"/>
      <c r="I81" s="190"/>
      <c r="K81" s="390"/>
      <c r="L81" s="4"/>
      <c r="M81" s="190"/>
      <c r="N81" s="190"/>
      <c r="O81" s="190"/>
      <c r="P81" s="190"/>
      <c r="Q81" s="190"/>
      <c r="R81" s="4"/>
      <c r="S81" s="376"/>
      <c r="T81" s="4"/>
      <c r="U81" s="190"/>
      <c r="V81" s="190"/>
      <c r="W81" s="190"/>
      <c r="X81" s="190"/>
      <c r="Y81" s="221"/>
      <c r="AA81" s="377"/>
    </row>
    <row r="82" spans="3:27" s="3" customFormat="1" x14ac:dyDescent="0.3">
      <c r="C82" s="221"/>
      <c r="D82" s="4"/>
      <c r="E82" s="190"/>
      <c r="F82" s="190"/>
      <c r="G82" s="240"/>
      <c r="H82" s="240"/>
      <c r="I82" s="190"/>
      <c r="K82" s="390"/>
      <c r="L82" s="4"/>
      <c r="M82" s="190"/>
      <c r="N82" s="190"/>
      <c r="O82" s="190"/>
      <c r="P82" s="190"/>
      <c r="Q82" s="190"/>
      <c r="R82" s="4"/>
      <c r="S82" s="376"/>
      <c r="T82" s="4"/>
      <c r="U82" s="190"/>
      <c r="V82" s="190"/>
      <c r="W82" s="190"/>
      <c r="X82" s="190"/>
      <c r="Y82" s="221"/>
      <c r="AA82" s="377"/>
    </row>
    <row r="83" spans="3:27" s="3" customFormat="1" x14ac:dyDescent="0.3">
      <c r="C83" s="221"/>
      <c r="D83" s="4"/>
      <c r="E83" s="190"/>
      <c r="F83" s="190"/>
      <c r="G83" s="240"/>
      <c r="H83" s="240"/>
      <c r="I83" s="190"/>
      <c r="K83" s="390"/>
      <c r="L83" s="4"/>
      <c r="M83" s="190"/>
      <c r="N83" s="190"/>
      <c r="O83" s="190"/>
      <c r="P83" s="190"/>
      <c r="Q83" s="190"/>
      <c r="R83" s="4"/>
      <c r="S83" s="376"/>
      <c r="T83" s="4"/>
      <c r="U83" s="190"/>
      <c r="V83" s="190"/>
      <c r="W83" s="190"/>
      <c r="X83" s="190"/>
      <c r="Y83" s="221"/>
      <c r="AA83" s="377"/>
    </row>
    <row r="84" spans="3:27" s="3" customFormat="1" x14ac:dyDescent="0.3">
      <c r="C84" s="221"/>
      <c r="D84" s="4"/>
      <c r="E84" s="190"/>
      <c r="F84" s="190"/>
      <c r="G84" s="240"/>
      <c r="H84" s="240"/>
      <c r="I84" s="190"/>
      <c r="K84" s="390"/>
      <c r="L84" s="4"/>
      <c r="M84" s="190"/>
      <c r="N84" s="190"/>
      <c r="O84" s="190"/>
      <c r="P84" s="190"/>
      <c r="Q84" s="190"/>
      <c r="R84" s="4"/>
      <c r="S84" s="376"/>
      <c r="T84" s="4"/>
      <c r="U84" s="190"/>
      <c r="V84" s="190"/>
      <c r="W84" s="190"/>
      <c r="X84" s="190"/>
      <c r="Y84" s="221"/>
      <c r="AA84" s="377"/>
    </row>
    <row r="85" spans="3:27" s="3" customFormat="1" x14ac:dyDescent="0.3">
      <c r="C85" s="221"/>
      <c r="D85" s="4"/>
      <c r="E85" s="190"/>
      <c r="F85" s="190"/>
      <c r="G85" s="240"/>
      <c r="H85" s="240"/>
      <c r="I85" s="190"/>
      <c r="K85" s="390"/>
      <c r="L85" s="4"/>
      <c r="M85" s="190"/>
      <c r="N85" s="190"/>
      <c r="O85" s="190"/>
      <c r="P85" s="190"/>
      <c r="Q85" s="190"/>
      <c r="R85" s="4"/>
      <c r="S85" s="376"/>
      <c r="T85" s="4"/>
      <c r="U85" s="190"/>
      <c r="V85" s="190"/>
      <c r="W85" s="190"/>
      <c r="X85" s="190"/>
      <c r="Y85" s="221"/>
      <c r="AA85" s="377"/>
    </row>
    <row r="86" spans="3:27" s="3" customFormat="1" x14ac:dyDescent="0.3">
      <c r="C86" s="221"/>
      <c r="D86" s="4"/>
      <c r="E86" s="190"/>
      <c r="F86" s="190"/>
      <c r="G86" s="240"/>
      <c r="H86" s="240"/>
      <c r="I86" s="190"/>
      <c r="K86" s="390"/>
      <c r="L86" s="4"/>
      <c r="M86" s="190"/>
      <c r="N86" s="190"/>
      <c r="O86" s="190"/>
      <c r="P86" s="190"/>
      <c r="Q86" s="190"/>
      <c r="R86" s="4"/>
      <c r="S86" s="376"/>
      <c r="T86" s="4"/>
      <c r="U86" s="190"/>
      <c r="V86" s="190"/>
      <c r="W86" s="190"/>
      <c r="X86" s="190"/>
      <c r="Y86" s="221"/>
      <c r="AA86" s="377"/>
    </row>
    <row r="87" spans="3:27" s="3" customFormat="1" x14ac:dyDescent="0.3">
      <c r="C87" s="221"/>
      <c r="D87" s="4"/>
      <c r="E87" s="190"/>
      <c r="F87" s="190"/>
      <c r="G87" s="240"/>
      <c r="H87" s="240"/>
      <c r="I87" s="190"/>
      <c r="K87" s="390"/>
      <c r="L87" s="4"/>
      <c r="M87" s="190"/>
      <c r="N87" s="190"/>
      <c r="O87" s="190"/>
      <c r="P87" s="190"/>
      <c r="Q87" s="190"/>
      <c r="R87" s="4"/>
      <c r="S87" s="376"/>
      <c r="T87" s="4"/>
      <c r="U87" s="190"/>
      <c r="V87" s="190"/>
      <c r="W87" s="190"/>
      <c r="X87" s="190"/>
      <c r="Y87" s="221"/>
      <c r="AA87" s="377"/>
    </row>
    <row r="88" spans="3:27" s="3" customFormat="1" x14ac:dyDescent="0.3">
      <c r="C88" s="221"/>
      <c r="D88" s="4"/>
      <c r="E88" s="190"/>
      <c r="F88" s="190"/>
      <c r="G88" s="240"/>
      <c r="H88" s="240"/>
      <c r="I88" s="190"/>
      <c r="K88" s="390"/>
      <c r="L88" s="4"/>
      <c r="M88" s="190"/>
      <c r="N88" s="190"/>
      <c r="O88" s="190"/>
      <c r="P88" s="190"/>
      <c r="Q88" s="190"/>
      <c r="R88" s="4"/>
      <c r="S88" s="376"/>
      <c r="T88" s="4"/>
      <c r="U88" s="190"/>
      <c r="V88" s="190"/>
      <c r="W88" s="190"/>
      <c r="X88" s="190"/>
      <c r="Y88" s="221"/>
      <c r="AA88" s="377"/>
    </row>
    <row r="89" spans="3:27" s="3" customFormat="1" x14ac:dyDescent="0.3">
      <c r="C89" s="221"/>
      <c r="D89" s="4"/>
      <c r="E89" s="190"/>
      <c r="F89" s="190"/>
      <c r="G89" s="240"/>
      <c r="H89" s="240"/>
      <c r="I89" s="190"/>
      <c r="K89" s="390"/>
      <c r="L89" s="4"/>
      <c r="M89" s="190"/>
      <c r="N89" s="190"/>
      <c r="O89" s="190"/>
      <c r="P89" s="190"/>
      <c r="Q89" s="190"/>
      <c r="R89" s="4"/>
      <c r="S89" s="376"/>
      <c r="T89" s="4"/>
      <c r="U89" s="190"/>
      <c r="V89" s="190"/>
      <c r="W89" s="190"/>
      <c r="X89" s="190"/>
      <c r="Y89" s="221"/>
      <c r="AA89" s="377"/>
    </row>
    <row r="90" spans="3:27" s="3" customFormat="1" x14ac:dyDescent="0.3">
      <c r="C90" s="221"/>
      <c r="D90" s="4"/>
      <c r="E90" s="190"/>
      <c r="F90" s="190"/>
      <c r="G90" s="240"/>
      <c r="H90" s="240"/>
      <c r="I90" s="190"/>
      <c r="K90" s="390"/>
      <c r="L90" s="4"/>
      <c r="M90" s="190"/>
      <c r="N90" s="190"/>
      <c r="O90" s="190"/>
      <c r="P90" s="190"/>
      <c r="Q90" s="190"/>
      <c r="R90" s="4"/>
      <c r="S90" s="376"/>
      <c r="T90" s="4"/>
      <c r="U90" s="190"/>
      <c r="V90" s="190"/>
      <c r="W90" s="190"/>
      <c r="X90" s="190"/>
      <c r="Y90" s="221"/>
      <c r="AA90" s="377"/>
    </row>
    <row r="91" spans="3:27" s="3" customFormat="1" x14ac:dyDescent="0.3">
      <c r="C91" s="221"/>
      <c r="D91" s="4"/>
      <c r="E91" s="190"/>
      <c r="F91" s="190"/>
      <c r="G91" s="240"/>
      <c r="H91" s="240"/>
      <c r="I91" s="190"/>
      <c r="K91" s="390"/>
      <c r="L91" s="4"/>
      <c r="M91" s="190"/>
      <c r="N91" s="190"/>
      <c r="O91" s="190"/>
      <c r="P91" s="190"/>
      <c r="Q91" s="190"/>
      <c r="R91" s="4"/>
      <c r="S91" s="376"/>
      <c r="T91" s="4"/>
      <c r="U91" s="190"/>
      <c r="V91" s="190"/>
      <c r="W91" s="190"/>
      <c r="X91" s="190"/>
      <c r="Y91" s="221"/>
      <c r="AA91" s="377"/>
    </row>
    <row r="92" spans="3:27" s="3" customFormat="1" x14ac:dyDescent="0.3">
      <c r="C92" s="221"/>
      <c r="D92" s="4"/>
      <c r="E92" s="190"/>
      <c r="F92" s="190"/>
      <c r="G92" s="240"/>
      <c r="H92" s="240"/>
      <c r="I92" s="190"/>
      <c r="K92" s="390"/>
      <c r="L92" s="4"/>
      <c r="M92" s="190"/>
      <c r="N92" s="190"/>
      <c r="O92" s="190"/>
      <c r="P92" s="190"/>
      <c r="Q92" s="190"/>
      <c r="R92" s="4"/>
      <c r="S92" s="376"/>
      <c r="T92" s="4"/>
      <c r="U92" s="190"/>
      <c r="V92" s="190"/>
      <c r="W92" s="190"/>
      <c r="X92" s="190"/>
      <c r="Y92" s="221"/>
      <c r="AA92" s="377"/>
    </row>
    <row r="93" spans="3:27" s="3" customFormat="1" x14ac:dyDescent="0.3">
      <c r="C93" s="221"/>
      <c r="D93" s="4"/>
      <c r="E93" s="190"/>
      <c r="F93" s="190"/>
      <c r="G93" s="240"/>
      <c r="H93" s="240"/>
      <c r="I93" s="190"/>
      <c r="K93" s="390"/>
      <c r="L93" s="4"/>
      <c r="M93" s="190"/>
      <c r="N93" s="190"/>
      <c r="O93" s="190"/>
      <c r="P93" s="190"/>
      <c r="Q93" s="190"/>
      <c r="R93" s="4"/>
      <c r="S93" s="376"/>
      <c r="T93" s="4"/>
      <c r="U93" s="190"/>
      <c r="V93" s="190"/>
      <c r="W93" s="190"/>
      <c r="X93" s="190"/>
      <c r="Y93" s="221"/>
      <c r="AA93" s="377"/>
    </row>
    <row r="94" spans="3:27" s="3" customFormat="1" x14ac:dyDescent="0.3">
      <c r="C94" s="221"/>
      <c r="D94" s="4"/>
      <c r="E94" s="190"/>
      <c r="F94" s="190"/>
      <c r="G94" s="240"/>
      <c r="H94" s="240"/>
      <c r="I94" s="190"/>
      <c r="K94" s="390"/>
      <c r="L94" s="4"/>
      <c r="M94" s="190"/>
      <c r="N94" s="190"/>
      <c r="O94" s="190"/>
      <c r="P94" s="190"/>
      <c r="Q94" s="190"/>
      <c r="R94" s="4"/>
      <c r="S94" s="376"/>
      <c r="T94" s="4"/>
      <c r="U94" s="190"/>
      <c r="V94" s="190"/>
      <c r="W94" s="190"/>
      <c r="X94" s="190"/>
      <c r="Y94" s="221"/>
      <c r="AA94" s="377"/>
    </row>
    <row r="95" spans="3:27" s="3" customFormat="1" x14ac:dyDescent="0.3">
      <c r="C95" s="221"/>
      <c r="D95" s="4"/>
      <c r="E95" s="190"/>
      <c r="F95" s="190"/>
      <c r="G95" s="240"/>
      <c r="H95" s="240"/>
      <c r="I95" s="190"/>
      <c r="K95" s="390"/>
      <c r="L95" s="4"/>
      <c r="M95" s="190"/>
      <c r="N95" s="190"/>
      <c r="O95" s="190"/>
      <c r="P95" s="190"/>
      <c r="Q95" s="190"/>
      <c r="R95" s="4"/>
      <c r="S95" s="376"/>
      <c r="T95" s="4"/>
      <c r="U95" s="190"/>
      <c r="V95" s="190"/>
      <c r="W95" s="190"/>
      <c r="X95" s="190"/>
      <c r="Y95" s="221"/>
      <c r="AA95" s="377"/>
    </row>
    <row r="96" spans="3:27" s="3" customFormat="1" x14ac:dyDescent="0.3">
      <c r="C96" s="221"/>
      <c r="D96" s="4"/>
      <c r="E96" s="190"/>
      <c r="F96" s="190"/>
      <c r="G96" s="240"/>
      <c r="H96" s="240"/>
      <c r="I96" s="190"/>
      <c r="K96" s="390"/>
      <c r="L96" s="4"/>
      <c r="M96" s="190"/>
      <c r="N96" s="190"/>
      <c r="O96" s="190"/>
      <c r="P96" s="190"/>
      <c r="Q96" s="190"/>
      <c r="R96" s="4"/>
      <c r="S96" s="376"/>
      <c r="T96" s="4"/>
      <c r="U96" s="190"/>
      <c r="V96" s="190"/>
      <c r="W96" s="190"/>
      <c r="X96" s="190"/>
      <c r="Y96" s="221"/>
      <c r="AA96" s="377"/>
    </row>
    <row r="97" spans="3:27" s="3" customFormat="1" x14ac:dyDescent="0.3">
      <c r="C97" s="221"/>
      <c r="D97" s="4"/>
      <c r="E97" s="190"/>
      <c r="F97" s="190"/>
      <c r="G97" s="240"/>
      <c r="H97" s="240"/>
      <c r="I97" s="190"/>
      <c r="K97" s="390"/>
      <c r="L97" s="4"/>
      <c r="M97" s="190"/>
      <c r="N97" s="190"/>
      <c r="O97" s="190"/>
      <c r="P97" s="190"/>
      <c r="Q97" s="190"/>
      <c r="R97" s="4"/>
      <c r="S97" s="376"/>
      <c r="T97" s="4"/>
      <c r="U97" s="190"/>
      <c r="V97" s="190"/>
      <c r="W97" s="190"/>
      <c r="X97" s="190"/>
      <c r="Y97" s="221"/>
      <c r="AA97" s="377"/>
    </row>
    <row r="98" spans="3:27" s="3" customFormat="1" x14ac:dyDescent="0.3">
      <c r="C98" s="221"/>
      <c r="D98" s="4"/>
      <c r="E98" s="190"/>
      <c r="F98" s="190"/>
      <c r="G98" s="240"/>
      <c r="H98" s="240"/>
      <c r="I98" s="190"/>
      <c r="K98" s="390"/>
      <c r="L98" s="4"/>
      <c r="M98" s="190"/>
      <c r="N98" s="190"/>
      <c r="O98" s="190"/>
      <c r="P98" s="190"/>
      <c r="Q98" s="190"/>
      <c r="R98" s="4"/>
      <c r="S98" s="376"/>
      <c r="T98" s="4"/>
      <c r="U98" s="190"/>
      <c r="V98" s="190"/>
      <c r="W98" s="190"/>
      <c r="X98" s="190"/>
      <c r="Y98" s="221"/>
      <c r="AA98" s="377"/>
    </row>
    <row r="99" spans="3:27" s="3" customFormat="1" x14ac:dyDescent="0.3">
      <c r="C99" s="221"/>
      <c r="D99" s="4"/>
      <c r="E99" s="190"/>
      <c r="F99" s="190"/>
      <c r="G99" s="240"/>
      <c r="H99" s="240"/>
      <c r="I99" s="190"/>
      <c r="K99" s="390"/>
      <c r="L99" s="4"/>
      <c r="M99" s="190"/>
      <c r="N99" s="190"/>
      <c r="O99" s="190"/>
      <c r="P99" s="190"/>
      <c r="Q99" s="190"/>
      <c r="R99" s="4"/>
      <c r="S99" s="376"/>
      <c r="T99" s="4"/>
      <c r="U99" s="190"/>
      <c r="V99" s="190"/>
      <c r="W99" s="190"/>
      <c r="X99" s="190"/>
      <c r="Y99" s="221"/>
      <c r="AA99" s="377"/>
    </row>
    <row r="100" spans="3:27" s="3" customFormat="1" x14ac:dyDescent="0.3">
      <c r="C100" s="221"/>
      <c r="D100" s="4"/>
      <c r="E100" s="190"/>
      <c r="F100" s="190"/>
      <c r="G100" s="240"/>
      <c r="H100" s="240"/>
      <c r="I100" s="190"/>
      <c r="K100" s="390"/>
      <c r="L100" s="4"/>
      <c r="M100" s="190"/>
      <c r="N100" s="190"/>
      <c r="O100" s="190"/>
      <c r="P100" s="190"/>
      <c r="Q100" s="190"/>
      <c r="R100" s="4"/>
      <c r="S100" s="376"/>
      <c r="T100" s="4"/>
      <c r="U100" s="190"/>
      <c r="V100" s="190"/>
      <c r="W100" s="190"/>
      <c r="X100" s="190"/>
      <c r="Y100" s="221"/>
      <c r="AA100" s="377"/>
    </row>
    <row r="101" spans="3:27" s="3" customFormat="1" x14ac:dyDescent="0.3">
      <c r="C101" s="221"/>
      <c r="D101" s="4"/>
      <c r="E101" s="190"/>
      <c r="F101" s="190"/>
      <c r="G101" s="240"/>
      <c r="H101" s="240"/>
      <c r="I101" s="190"/>
      <c r="K101" s="390"/>
      <c r="L101" s="4"/>
      <c r="M101" s="190"/>
      <c r="N101" s="190"/>
      <c r="O101" s="190"/>
      <c r="P101" s="190"/>
      <c r="Q101" s="190"/>
      <c r="R101" s="4"/>
      <c r="S101" s="376"/>
      <c r="T101" s="4"/>
      <c r="U101" s="190"/>
      <c r="V101" s="190"/>
      <c r="W101" s="190"/>
      <c r="X101" s="190"/>
      <c r="Y101" s="221"/>
      <c r="AA101" s="377"/>
    </row>
    <row r="102" spans="3:27" s="3" customFormat="1" x14ac:dyDescent="0.3">
      <c r="C102" s="221"/>
      <c r="D102" s="4"/>
      <c r="E102" s="190"/>
      <c r="F102" s="190"/>
      <c r="G102" s="240"/>
      <c r="H102" s="240"/>
      <c r="I102" s="190"/>
      <c r="K102" s="390"/>
      <c r="L102" s="4"/>
      <c r="M102" s="190"/>
      <c r="N102" s="190"/>
      <c r="O102" s="190"/>
      <c r="P102" s="190"/>
      <c r="Q102" s="190"/>
      <c r="R102" s="4"/>
      <c r="S102" s="376"/>
      <c r="T102" s="4"/>
      <c r="U102" s="190"/>
      <c r="V102" s="190"/>
      <c r="W102" s="190"/>
      <c r="X102" s="190"/>
      <c r="Y102" s="221"/>
      <c r="AA102" s="377"/>
    </row>
    <row r="103" spans="3:27" s="3" customFormat="1" x14ac:dyDescent="0.3">
      <c r="C103" s="221"/>
      <c r="D103" s="4"/>
      <c r="E103" s="190"/>
      <c r="F103" s="190"/>
      <c r="G103" s="240"/>
      <c r="H103" s="240"/>
      <c r="I103" s="190"/>
      <c r="K103" s="390"/>
      <c r="L103" s="4"/>
      <c r="M103" s="190"/>
      <c r="N103" s="190"/>
      <c r="O103" s="190"/>
      <c r="P103" s="190"/>
      <c r="Q103" s="190"/>
      <c r="R103" s="4"/>
      <c r="S103" s="376"/>
      <c r="T103" s="4"/>
      <c r="U103" s="190"/>
      <c r="V103" s="190"/>
      <c r="W103" s="190"/>
      <c r="X103" s="190"/>
      <c r="Y103" s="221"/>
      <c r="AA103" s="377"/>
    </row>
    <row r="104" spans="3:27" s="3" customFormat="1" x14ac:dyDescent="0.3">
      <c r="C104" s="221"/>
      <c r="D104" s="4"/>
      <c r="E104" s="190"/>
      <c r="F104" s="190"/>
      <c r="G104" s="240"/>
      <c r="H104" s="240"/>
      <c r="I104" s="190"/>
      <c r="K104" s="390"/>
      <c r="L104" s="4"/>
      <c r="M104" s="190"/>
      <c r="N104" s="190"/>
      <c r="O104" s="190"/>
      <c r="P104" s="190"/>
      <c r="Q104" s="190"/>
      <c r="R104" s="4"/>
      <c r="S104" s="376"/>
      <c r="T104" s="4"/>
      <c r="U104" s="190"/>
      <c r="V104" s="190"/>
      <c r="W104" s="190"/>
      <c r="X104" s="190"/>
      <c r="Y104" s="221"/>
      <c r="AA104" s="377"/>
    </row>
    <row r="105" spans="3:27" s="3" customFormat="1" x14ac:dyDescent="0.3">
      <c r="C105" s="221"/>
      <c r="D105" s="4"/>
      <c r="E105" s="190"/>
      <c r="F105" s="190"/>
      <c r="G105" s="240"/>
      <c r="H105" s="240"/>
      <c r="I105" s="190"/>
      <c r="K105" s="390"/>
      <c r="L105" s="4"/>
      <c r="M105" s="190"/>
      <c r="N105" s="190"/>
      <c r="O105" s="190"/>
      <c r="P105" s="190"/>
      <c r="Q105" s="190"/>
      <c r="R105" s="4"/>
      <c r="S105" s="376"/>
      <c r="T105" s="4"/>
      <c r="U105" s="190"/>
      <c r="V105" s="190"/>
      <c r="W105" s="190"/>
      <c r="X105" s="190"/>
      <c r="Y105" s="221"/>
      <c r="AA105" s="377"/>
    </row>
    <row r="106" spans="3:27" s="3" customFormat="1" x14ac:dyDescent="0.3">
      <c r="C106" s="221"/>
      <c r="D106" s="4"/>
      <c r="E106" s="190"/>
      <c r="F106" s="190"/>
      <c r="G106" s="240"/>
      <c r="H106" s="240"/>
      <c r="I106" s="190"/>
      <c r="K106" s="390"/>
      <c r="L106" s="4"/>
      <c r="M106" s="190"/>
      <c r="N106" s="190"/>
      <c r="O106" s="190"/>
      <c r="P106" s="190"/>
      <c r="Q106" s="190"/>
      <c r="R106" s="4"/>
      <c r="S106" s="376"/>
      <c r="T106" s="4"/>
      <c r="U106" s="190"/>
      <c r="V106" s="190"/>
      <c r="W106" s="190"/>
      <c r="X106" s="190"/>
      <c r="Y106" s="221"/>
      <c r="AA106" s="377"/>
    </row>
    <row r="107" spans="3:27" s="3" customFormat="1" x14ac:dyDescent="0.3">
      <c r="C107" s="221"/>
      <c r="D107" s="4"/>
      <c r="E107" s="190"/>
      <c r="F107" s="190"/>
      <c r="G107" s="240"/>
      <c r="H107" s="240"/>
      <c r="I107" s="190"/>
      <c r="K107" s="390"/>
      <c r="L107" s="4"/>
      <c r="M107" s="190"/>
      <c r="N107" s="190"/>
      <c r="O107" s="190"/>
      <c r="P107" s="190"/>
      <c r="Q107" s="190"/>
      <c r="R107" s="4"/>
      <c r="S107" s="376"/>
      <c r="T107" s="4"/>
      <c r="U107" s="190"/>
      <c r="V107" s="190"/>
      <c r="W107" s="190"/>
      <c r="X107" s="190"/>
      <c r="Y107" s="221"/>
      <c r="AA107" s="377"/>
    </row>
    <row r="108" spans="3:27" s="3" customFormat="1" x14ac:dyDescent="0.3">
      <c r="C108" s="221"/>
      <c r="D108" s="4"/>
      <c r="E108" s="190"/>
      <c r="F108" s="190"/>
      <c r="G108" s="240"/>
      <c r="H108" s="240"/>
      <c r="I108" s="190"/>
      <c r="K108" s="390"/>
      <c r="L108" s="4"/>
      <c r="M108" s="190"/>
      <c r="N108" s="190"/>
      <c r="O108" s="190"/>
      <c r="P108" s="190"/>
      <c r="Q108" s="190"/>
      <c r="R108" s="4"/>
      <c r="S108" s="376"/>
      <c r="T108" s="4"/>
      <c r="U108" s="190"/>
      <c r="V108" s="190"/>
      <c r="W108" s="190"/>
      <c r="X108" s="190"/>
      <c r="Y108" s="221"/>
      <c r="AA108" s="377"/>
    </row>
    <row r="109" spans="3:27" s="3" customFormat="1" x14ac:dyDescent="0.3">
      <c r="C109" s="221"/>
      <c r="D109" s="4"/>
      <c r="E109" s="190"/>
      <c r="F109" s="190"/>
      <c r="G109" s="240"/>
      <c r="H109" s="240"/>
      <c r="I109" s="190"/>
      <c r="K109" s="390"/>
      <c r="L109" s="4"/>
      <c r="M109" s="190"/>
      <c r="N109" s="190"/>
      <c r="O109" s="190"/>
      <c r="P109" s="190"/>
      <c r="Q109" s="190"/>
      <c r="R109" s="4"/>
      <c r="S109" s="376"/>
      <c r="T109" s="4"/>
      <c r="U109" s="190"/>
      <c r="V109" s="190"/>
      <c r="W109" s="190"/>
      <c r="X109" s="190"/>
      <c r="Y109" s="221"/>
      <c r="AA109" s="377"/>
    </row>
    <row r="110" spans="3:27" s="3" customFormat="1" x14ac:dyDescent="0.3">
      <c r="C110" s="221"/>
      <c r="D110" s="4"/>
      <c r="E110" s="190"/>
      <c r="F110" s="190"/>
      <c r="G110" s="240"/>
      <c r="H110" s="240"/>
      <c r="I110" s="190"/>
      <c r="K110" s="390"/>
      <c r="L110" s="4"/>
      <c r="M110" s="190"/>
      <c r="N110" s="190"/>
      <c r="O110" s="190"/>
      <c r="P110" s="190"/>
      <c r="Q110" s="190"/>
      <c r="R110" s="4"/>
      <c r="S110" s="376"/>
      <c r="T110" s="4"/>
      <c r="U110" s="190"/>
      <c r="V110" s="190"/>
      <c r="W110" s="190"/>
      <c r="X110" s="190"/>
      <c r="Y110" s="221"/>
      <c r="AA110" s="377"/>
    </row>
    <row r="111" spans="3:27" s="3" customFormat="1" x14ac:dyDescent="0.3">
      <c r="C111" s="221"/>
      <c r="D111" s="4"/>
      <c r="E111" s="190"/>
      <c r="F111" s="190"/>
      <c r="G111" s="240"/>
      <c r="H111" s="240"/>
      <c r="I111" s="190"/>
      <c r="K111" s="390"/>
      <c r="L111" s="4"/>
      <c r="M111" s="190"/>
      <c r="N111" s="190"/>
      <c r="O111" s="190"/>
      <c r="P111" s="190"/>
      <c r="Q111" s="190"/>
      <c r="R111" s="4"/>
      <c r="S111" s="376"/>
      <c r="T111" s="4"/>
      <c r="U111" s="190"/>
      <c r="V111" s="190"/>
      <c r="W111" s="190"/>
      <c r="X111" s="190"/>
      <c r="Y111" s="221"/>
      <c r="AA111" s="377"/>
    </row>
    <row r="112" spans="3:27" s="3" customFormat="1" x14ac:dyDescent="0.3">
      <c r="C112" s="221"/>
      <c r="D112" s="4"/>
      <c r="E112" s="190"/>
      <c r="F112" s="190"/>
      <c r="G112" s="240"/>
      <c r="H112" s="240"/>
      <c r="I112" s="190"/>
      <c r="K112" s="390"/>
      <c r="L112" s="4"/>
      <c r="M112" s="190"/>
      <c r="N112" s="190"/>
      <c r="O112" s="190"/>
      <c r="P112" s="190"/>
      <c r="Q112" s="190"/>
      <c r="R112" s="4"/>
      <c r="S112" s="376"/>
      <c r="T112" s="4"/>
      <c r="U112" s="190"/>
      <c r="V112" s="190"/>
      <c r="W112" s="190"/>
      <c r="X112" s="190"/>
      <c r="Y112" s="221"/>
      <c r="AA112" s="377"/>
    </row>
    <row r="113" spans="3:27" s="3" customFormat="1" x14ac:dyDescent="0.3">
      <c r="C113" s="221"/>
      <c r="D113" s="4"/>
      <c r="E113" s="190"/>
      <c r="F113" s="190"/>
      <c r="G113" s="240"/>
      <c r="H113" s="240"/>
      <c r="I113" s="190"/>
      <c r="K113" s="390"/>
      <c r="L113" s="4"/>
      <c r="M113" s="190"/>
      <c r="N113" s="190"/>
      <c r="O113" s="190"/>
      <c r="P113" s="190"/>
      <c r="Q113" s="190"/>
      <c r="R113" s="4"/>
      <c r="S113" s="376"/>
      <c r="T113" s="4"/>
      <c r="U113" s="190"/>
      <c r="V113" s="190"/>
      <c r="W113" s="190"/>
      <c r="X113" s="190"/>
      <c r="Y113" s="221"/>
      <c r="AA113" s="377"/>
    </row>
    <row r="114" spans="3:27" s="3" customFormat="1" x14ac:dyDescent="0.3">
      <c r="C114" s="221"/>
      <c r="D114" s="4"/>
      <c r="E114" s="190"/>
      <c r="F114" s="190"/>
      <c r="G114" s="240"/>
      <c r="H114" s="240"/>
      <c r="I114" s="190"/>
      <c r="K114" s="390"/>
      <c r="L114" s="4"/>
      <c r="M114" s="190"/>
      <c r="N114" s="190"/>
      <c r="O114" s="190"/>
      <c r="P114" s="190"/>
      <c r="Q114" s="190"/>
      <c r="R114" s="4"/>
      <c r="S114" s="376"/>
      <c r="T114" s="4"/>
      <c r="U114" s="190"/>
      <c r="V114" s="190"/>
      <c r="W114" s="190"/>
      <c r="X114" s="190"/>
      <c r="Y114" s="221"/>
      <c r="AA114" s="377"/>
    </row>
    <row r="115" spans="3:27" s="3" customFormat="1" x14ac:dyDescent="0.3">
      <c r="C115" s="221"/>
      <c r="D115" s="4"/>
      <c r="E115" s="190"/>
      <c r="F115" s="190"/>
      <c r="G115" s="240"/>
      <c r="H115" s="240"/>
      <c r="I115" s="190"/>
      <c r="K115" s="390"/>
      <c r="L115" s="4"/>
      <c r="M115" s="190"/>
      <c r="N115" s="190"/>
      <c r="O115" s="190"/>
      <c r="P115" s="190"/>
      <c r="Q115" s="190"/>
      <c r="R115" s="4"/>
      <c r="S115" s="376"/>
      <c r="T115" s="4"/>
      <c r="U115" s="190"/>
      <c r="V115" s="190"/>
      <c r="W115" s="190"/>
      <c r="X115" s="190"/>
      <c r="Y115" s="221"/>
      <c r="AA115" s="377"/>
    </row>
    <row r="116" spans="3:27" s="3" customFormat="1" x14ac:dyDescent="0.3">
      <c r="C116" s="221"/>
      <c r="D116" s="4"/>
      <c r="E116" s="190"/>
      <c r="F116" s="190"/>
      <c r="G116" s="240"/>
      <c r="H116" s="240"/>
      <c r="I116" s="190"/>
      <c r="K116" s="390"/>
      <c r="L116" s="4"/>
      <c r="M116" s="190"/>
      <c r="N116" s="190"/>
      <c r="O116" s="190"/>
      <c r="P116" s="190"/>
      <c r="Q116" s="190"/>
      <c r="R116" s="4"/>
      <c r="S116" s="376"/>
      <c r="T116" s="4"/>
      <c r="U116" s="190"/>
      <c r="V116" s="190"/>
      <c r="W116" s="190"/>
      <c r="X116" s="190"/>
      <c r="Y116" s="221"/>
      <c r="AA116" s="377"/>
    </row>
    <row r="117" spans="3:27" s="3" customFormat="1" x14ac:dyDescent="0.3">
      <c r="C117" s="221"/>
      <c r="D117" s="4"/>
      <c r="E117" s="190"/>
      <c r="F117" s="190"/>
      <c r="G117" s="240"/>
      <c r="H117" s="240"/>
      <c r="I117" s="190"/>
      <c r="K117" s="390"/>
      <c r="L117" s="4"/>
      <c r="M117" s="190"/>
      <c r="N117" s="190"/>
      <c r="O117" s="190"/>
      <c r="P117" s="190"/>
      <c r="Q117" s="190"/>
      <c r="R117" s="4"/>
      <c r="S117" s="376"/>
      <c r="T117" s="4"/>
      <c r="U117" s="190"/>
      <c r="V117" s="190"/>
      <c r="W117" s="190"/>
      <c r="X117" s="190"/>
      <c r="Y117" s="221"/>
      <c r="AA117" s="377"/>
    </row>
    <row r="118" spans="3:27" s="3" customFormat="1" x14ac:dyDescent="0.3">
      <c r="C118" s="221"/>
      <c r="D118" s="4"/>
      <c r="E118" s="190"/>
      <c r="F118" s="190"/>
      <c r="G118" s="240"/>
      <c r="H118" s="240"/>
      <c r="I118" s="190"/>
      <c r="K118" s="390"/>
      <c r="L118" s="4"/>
      <c r="M118" s="190"/>
      <c r="N118" s="190"/>
      <c r="O118" s="190"/>
      <c r="P118" s="190"/>
      <c r="Q118" s="190"/>
      <c r="R118" s="4"/>
      <c r="S118" s="376"/>
      <c r="T118" s="4"/>
      <c r="U118" s="190"/>
      <c r="V118" s="190"/>
      <c r="W118" s="190"/>
      <c r="X118" s="190"/>
      <c r="Y118" s="221"/>
      <c r="AA118" s="377"/>
    </row>
    <row r="119" spans="3:27" s="3" customFormat="1" x14ac:dyDescent="0.3">
      <c r="C119" s="221"/>
      <c r="D119" s="4"/>
      <c r="E119" s="190"/>
      <c r="F119" s="190"/>
      <c r="G119" s="240"/>
      <c r="H119" s="240"/>
      <c r="I119" s="190"/>
      <c r="K119" s="390"/>
      <c r="L119" s="4"/>
      <c r="M119" s="190"/>
      <c r="N119" s="190"/>
      <c r="O119" s="190"/>
      <c r="P119" s="190"/>
      <c r="Q119" s="190"/>
      <c r="R119" s="4"/>
      <c r="S119" s="376"/>
      <c r="T119" s="4"/>
      <c r="U119" s="190"/>
      <c r="V119" s="190"/>
      <c r="W119" s="190"/>
      <c r="X119" s="190"/>
      <c r="Y119" s="221"/>
      <c r="AA119" s="377"/>
    </row>
    <row r="120" spans="3:27" s="3" customFormat="1" x14ac:dyDescent="0.3">
      <c r="C120" s="221"/>
      <c r="D120" s="4"/>
      <c r="E120" s="190"/>
      <c r="F120" s="190"/>
      <c r="G120" s="240"/>
      <c r="H120" s="240"/>
      <c r="I120" s="190"/>
      <c r="K120" s="390"/>
      <c r="L120" s="4"/>
      <c r="M120" s="190"/>
      <c r="N120" s="190"/>
      <c r="O120" s="190"/>
      <c r="P120" s="190"/>
      <c r="Q120" s="190"/>
      <c r="R120" s="4"/>
      <c r="S120" s="376"/>
      <c r="T120" s="4"/>
      <c r="U120" s="190"/>
      <c r="V120" s="190"/>
      <c r="W120" s="190"/>
      <c r="X120" s="190"/>
      <c r="Y120" s="221"/>
      <c r="AA120" s="377"/>
    </row>
    <row r="121" spans="3:27" s="3" customFormat="1" x14ac:dyDescent="0.3">
      <c r="C121" s="221"/>
      <c r="D121" s="4"/>
      <c r="E121" s="190"/>
      <c r="F121" s="190"/>
      <c r="G121" s="240"/>
      <c r="H121" s="240"/>
      <c r="I121" s="190"/>
      <c r="K121" s="390"/>
      <c r="L121" s="4"/>
      <c r="M121" s="190"/>
      <c r="N121" s="190"/>
      <c r="O121" s="190"/>
      <c r="P121" s="190"/>
      <c r="Q121" s="190"/>
      <c r="R121" s="4"/>
      <c r="S121" s="376"/>
      <c r="T121" s="4"/>
      <c r="U121" s="190"/>
      <c r="V121" s="190"/>
      <c r="W121" s="190"/>
      <c r="X121" s="190"/>
      <c r="Y121" s="221"/>
      <c r="AA121" s="377"/>
    </row>
    <row r="122" spans="3:27" s="3" customFormat="1" x14ac:dyDescent="0.3">
      <c r="C122" s="221"/>
      <c r="D122" s="4"/>
      <c r="E122" s="190"/>
      <c r="F122" s="190"/>
      <c r="G122" s="240"/>
      <c r="H122" s="240"/>
      <c r="I122" s="190"/>
      <c r="K122" s="390"/>
      <c r="L122" s="4"/>
      <c r="M122" s="190"/>
      <c r="N122" s="190"/>
      <c r="O122" s="190"/>
      <c r="P122" s="190"/>
      <c r="Q122" s="190"/>
      <c r="R122" s="4"/>
      <c r="S122" s="376"/>
      <c r="T122" s="4"/>
      <c r="U122" s="190"/>
      <c r="V122" s="190"/>
      <c r="W122" s="190"/>
      <c r="X122" s="190"/>
      <c r="Y122" s="221"/>
      <c r="AA122" s="377"/>
    </row>
    <row r="123" spans="3:27" s="3" customFormat="1" x14ac:dyDescent="0.3">
      <c r="C123" s="221"/>
      <c r="D123" s="4"/>
      <c r="E123" s="190"/>
      <c r="F123" s="190"/>
      <c r="G123" s="240"/>
      <c r="H123" s="240"/>
      <c r="I123" s="190"/>
      <c r="K123" s="390"/>
      <c r="L123" s="4"/>
      <c r="M123" s="190"/>
      <c r="N123" s="190"/>
      <c r="O123" s="190"/>
      <c r="P123" s="190"/>
      <c r="Q123" s="190"/>
      <c r="R123" s="4"/>
      <c r="S123" s="376"/>
      <c r="T123" s="4"/>
      <c r="U123" s="190"/>
      <c r="V123" s="190"/>
      <c r="W123" s="190"/>
      <c r="X123" s="190"/>
      <c r="Y123" s="221"/>
      <c r="AA123" s="377"/>
    </row>
    <row r="124" spans="3:27" s="3" customFormat="1" x14ac:dyDescent="0.3">
      <c r="C124" s="221"/>
      <c r="D124" s="4"/>
      <c r="E124" s="190"/>
      <c r="F124" s="190"/>
      <c r="G124" s="240"/>
      <c r="H124" s="240"/>
      <c r="I124" s="190"/>
      <c r="K124" s="390"/>
      <c r="L124" s="4"/>
      <c r="M124" s="190"/>
      <c r="N124" s="190"/>
      <c r="O124" s="190"/>
      <c r="P124" s="190"/>
      <c r="Q124" s="190"/>
      <c r="R124" s="4"/>
      <c r="S124" s="376"/>
      <c r="T124" s="4"/>
      <c r="U124" s="190"/>
      <c r="V124" s="190"/>
      <c r="W124" s="190"/>
      <c r="X124" s="190"/>
      <c r="Y124" s="221"/>
      <c r="AA124" s="377"/>
    </row>
    <row r="125" spans="3:27" s="3" customFormat="1" x14ac:dyDescent="0.3">
      <c r="C125" s="221"/>
      <c r="D125" s="4"/>
      <c r="E125" s="190"/>
      <c r="F125" s="190"/>
      <c r="G125" s="240"/>
      <c r="H125" s="240"/>
      <c r="I125" s="190"/>
      <c r="K125" s="390"/>
      <c r="L125" s="4"/>
      <c r="M125" s="190"/>
      <c r="N125" s="190"/>
      <c r="O125" s="190"/>
      <c r="P125" s="190"/>
      <c r="Q125" s="190"/>
      <c r="R125" s="4"/>
      <c r="S125" s="376"/>
      <c r="T125" s="4"/>
      <c r="U125" s="190"/>
      <c r="V125" s="190"/>
      <c r="W125" s="190"/>
      <c r="X125" s="190"/>
      <c r="Y125" s="221"/>
      <c r="AA125" s="377"/>
    </row>
    <row r="126" spans="3:27" s="3" customFormat="1" x14ac:dyDescent="0.3">
      <c r="C126" s="221"/>
      <c r="D126" s="4"/>
      <c r="E126" s="190"/>
      <c r="F126" s="190"/>
      <c r="G126" s="240"/>
      <c r="H126" s="240"/>
      <c r="I126" s="190"/>
      <c r="K126" s="390"/>
      <c r="L126" s="4"/>
      <c r="M126" s="190"/>
      <c r="N126" s="190"/>
      <c r="O126" s="190"/>
      <c r="P126" s="190"/>
      <c r="Q126" s="190"/>
      <c r="R126" s="4"/>
      <c r="S126" s="376"/>
      <c r="T126" s="4"/>
      <c r="U126" s="190"/>
      <c r="V126" s="190"/>
      <c r="W126" s="190"/>
      <c r="X126" s="190"/>
      <c r="Y126" s="221"/>
      <c r="AA126" s="377"/>
    </row>
    <row r="127" spans="3:27" s="3" customFormat="1" x14ac:dyDescent="0.3">
      <c r="C127" s="221"/>
      <c r="D127" s="4"/>
      <c r="E127" s="190"/>
      <c r="F127" s="190"/>
      <c r="G127" s="240"/>
      <c r="H127" s="240"/>
      <c r="I127" s="190"/>
      <c r="K127" s="390"/>
      <c r="L127" s="4"/>
      <c r="M127" s="190"/>
      <c r="N127" s="190"/>
      <c r="O127" s="190"/>
      <c r="P127" s="190"/>
      <c r="Q127" s="190"/>
      <c r="R127" s="4"/>
      <c r="S127" s="376"/>
      <c r="T127" s="4"/>
      <c r="U127" s="190"/>
      <c r="V127" s="190"/>
      <c r="W127" s="190"/>
      <c r="X127" s="190"/>
      <c r="Y127" s="221"/>
      <c r="AA127" s="377"/>
    </row>
    <row r="128" spans="3:27" s="3" customFormat="1" x14ac:dyDescent="0.3">
      <c r="C128" s="221"/>
      <c r="D128" s="4"/>
      <c r="E128" s="190"/>
      <c r="F128" s="190"/>
      <c r="G128" s="240"/>
      <c r="H128" s="240"/>
      <c r="I128" s="190"/>
      <c r="K128" s="390"/>
      <c r="L128" s="4"/>
      <c r="M128" s="190"/>
      <c r="N128" s="190"/>
      <c r="O128" s="190"/>
      <c r="P128" s="190"/>
      <c r="Q128" s="190"/>
      <c r="R128" s="4"/>
      <c r="S128" s="376"/>
      <c r="T128" s="4"/>
      <c r="U128" s="190"/>
      <c r="V128" s="190"/>
      <c r="W128" s="190"/>
      <c r="X128" s="190"/>
      <c r="Y128" s="221"/>
      <c r="AA128" s="377"/>
    </row>
    <row r="129" spans="3:27" s="3" customFormat="1" x14ac:dyDescent="0.3">
      <c r="C129" s="221"/>
      <c r="D129" s="4"/>
      <c r="E129" s="190"/>
      <c r="F129" s="190"/>
      <c r="G129" s="240"/>
      <c r="H129" s="240"/>
      <c r="I129" s="190"/>
      <c r="K129" s="390"/>
      <c r="L129" s="4"/>
      <c r="M129" s="190"/>
      <c r="N129" s="190"/>
      <c r="O129" s="190"/>
      <c r="P129" s="190"/>
      <c r="Q129" s="190"/>
      <c r="R129" s="4"/>
      <c r="S129" s="376"/>
      <c r="T129" s="4"/>
      <c r="U129" s="190"/>
      <c r="V129" s="190"/>
      <c r="W129" s="190"/>
      <c r="X129" s="190"/>
      <c r="Y129" s="221"/>
      <c r="AA129" s="377"/>
    </row>
    <row r="130" spans="3:27" s="3" customFormat="1" x14ac:dyDescent="0.3">
      <c r="C130" s="221"/>
      <c r="D130" s="4"/>
      <c r="E130" s="190"/>
      <c r="F130" s="190"/>
      <c r="G130" s="240"/>
      <c r="H130" s="240"/>
      <c r="I130" s="190"/>
      <c r="K130" s="390"/>
      <c r="L130" s="4"/>
      <c r="M130" s="190"/>
      <c r="N130" s="190"/>
      <c r="O130" s="190"/>
      <c r="P130" s="190"/>
      <c r="Q130" s="190"/>
      <c r="R130" s="4"/>
      <c r="S130" s="376"/>
      <c r="T130" s="4"/>
      <c r="U130" s="190"/>
      <c r="V130" s="190"/>
      <c r="W130" s="190"/>
      <c r="X130" s="190"/>
      <c r="Y130" s="221"/>
      <c r="AA130" s="377"/>
    </row>
    <row r="131" spans="3:27" s="3" customFormat="1" x14ac:dyDescent="0.3">
      <c r="C131" s="221"/>
      <c r="D131" s="4"/>
      <c r="E131" s="190"/>
      <c r="F131" s="190"/>
      <c r="G131" s="240"/>
      <c r="H131" s="240"/>
      <c r="I131" s="190"/>
      <c r="K131" s="390"/>
      <c r="L131" s="4"/>
      <c r="M131" s="190"/>
      <c r="N131" s="190"/>
      <c r="O131" s="190"/>
      <c r="P131" s="190"/>
      <c r="Q131" s="190"/>
      <c r="R131" s="4"/>
      <c r="S131" s="376"/>
      <c r="T131" s="4"/>
      <c r="U131" s="190"/>
      <c r="V131" s="190"/>
      <c r="W131" s="190"/>
      <c r="X131" s="190"/>
      <c r="Y131" s="221"/>
      <c r="AA131" s="377"/>
    </row>
    <row r="132" spans="3:27" s="3" customFormat="1" x14ac:dyDescent="0.3">
      <c r="C132" s="221"/>
      <c r="D132" s="4"/>
      <c r="E132" s="190"/>
      <c r="F132" s="190"/>
      <c r="G132" s="240"/>
      <c r="H132" s="240"/>
      <c r="I132" s="190"/>
      <c r="K132" s="390"/>
      <c r="L132" s="4"/>
      <c r="M132" s="190"/>
      <c r="N132" s="190"/>
      <c r="O132" s="190"/>
      <c r="P132" s="190"/>
      <c r="Q132" s="190"/>
      <c r="R132" s="4"/>
      <c r="S132" s="376"/>
      <c r="T132" s="4"/>
      <c r="U132" s="190"/>
      <c r="V132" s="190"/>
      <c r="W132" s="190"/>
      <c r="X132" s="190"/>
      <c r="Y132" s="221"/>
      <c r="AA132" s="377"/>
    </row>
    <row r="133" spans="3:27" s="3" customFormat="1" x14ac:dyDescent="0.3">
      <c r="C133" s="221"/>
      <c r="D133" s="4"/>
      <c r="E133" s="190"/>
      <c r="F133" s="190"/>
      <c r="G133" s="240"/>
      <c r="H133" s="240"/>
      <c r="I133" s="190"/>
      <c r="K133" s="390"/>
      <c r="L133" s="4"/>
      <c r="M133" s="190"/>
      <c r="N133" s="190"/>
      <c r="O133" s="190"/>
      <c r="P133" s="190"/>
      <c r="Q133" s="190"/>
      <c r="R133" s="4"/>
      <c r="S133" s="376"/>
      <c r="T133" s="4"/>
      <c r="U133" s="190"/>
      <c r="V133" s="190"/>
      <c r="W133" s="190"/>
      <c r="X133" s="190"/>
      <c r="Y133" s="221"/>
      <c r="AA133" s="377"/>
    </row>
    <row r="134" spans="3:27" s="3" customFormat="1" x14ac:dyDescent="0.3">
      <c r="C134" s="221"/>
      <c r="D134" s="4"/>
      <c r="E134" s="190"/>
      <c r="F134" s="190"/>
      <c r="G134" s="240"/>
      <c r="H134" s="240"/>
      <c r="I134" s="190"/>
      <c r="K134" s="390"/>
      <c r="L134" s="4"/>
      <c r="M134" s="190"/>
      <c r="N134" s="190"/>
      <c r="O134" s="190"/>
      <c r="P134" s="190"/>
      <c r="Q134" s="190"/>
      <c r="R134" s="4"/>
      <c r="S134" s="376"/>
      <c r="T134" s="4"/>
      <c r="U134" s="190"/>
      <c r="V134" s="190"/>
      <c r="W134" s="190"/>
      <c r="X134" s="190"/>
      <c r="Y134" s="221"/>
      <c r="AA134" s="377"/>
    </row>
    <row r="135" spans="3:27" s="3" customFormat="1" x14ac:dyDescent="0.3">
      <c r="C135" s="221"/>
      <c r="D135" s="4"/>
      <c r="E135" s="190"/>
      <c r="F135" s="190"/>
      <c r="G135" s="240"/>
      <c r="H135" s="240"/>
      <c r="I135" s="190"/>
      <c r="K135" s="390"/>
      <c r="L135" s="4"/>
      <c r="M135" s="190"/>
      <c r="N135" s="190"/>
      <c r="O135" s="190"/>
      <c r="P135" s="190"/>
      <c r="Q135" s="190"/>
      <c r="R135" s="4"/>
      <c r="S135" s="376"/>
      <c r="T135" s="4"/>
      <c r="U135" s="190"/>
      <c r="V135" s="190"/>
      <c r="W135" s="190"/>
      <c r="X135" s="190"/>
      <c r="Y135" s="221"/>
      <c r="AA135" s="377"/>
    </row>
    <row r="136" spans="3:27" s="3" customFormat="1" x14ac:dyDescent="0.3">
      <c r="C136" s="221"/>
      <c r="D136" s="4"/>
      <c r="E136" s="190"/>
      <c r="F136" s="190"/>
      <c r="G136" s="240"/>
      <c r="H136" s="240"/>
      <c r="I136" s="190"/>
      <c r="K136" s="390"/>
      <c r="L136" s="4"/>
      <c r="M136" s="190"/>
      <c r="N136" s="190"/>
      <c r="O136" s="190"/>
      <c r="P136" s="190"/>
      <c r="Q136" s="190"/>
      <c r="R136" s="4"/>
      <c r="S136" s="376"/>
      <c r="T136" s="4"/>
      <c r="U136" s="190"/>
      <c r="V136" s="190"/>
      <c r="W136" s="190"/>
      <c r="X136" s="190"/>
      <c r="Y136" s="221"/>
      <c r="AA136" s="377"/>
    </row>
    <row r="137" spans="3:27" s="3" customFormat="1" x14ac:dyDescent="0.3">
      <c r="C137" s="221"/>
      <c r="D137" s="4"/>
      <c r="E137" s="190"/>
      <c r="F137" s="190"/>
      <c r="G137" s="240"/>
      <c r="H137" s="240"/>
      <c r="I137" s="190"/>
      <c r="K137" s="390"/>
      <c r="L137" s="4"/>
      <c r="M137" s="190"/>
      <c r="N137" s="190"/>
      <c r="O137" s="190"/>
      <c r="P137" s="190"/>
      <c r="Q137" s="190"/>
      <c r="R137" s="4"/>
      <c r="S137" s="376"/>
      <c r="T137" s="4"/>
      <c r="U137" s="190"/>
      <c r="V137" s="190"/>
      <c r="W137" s="190"/>
      <c r="X137" s="190"/>
      <c r="Y137" s="221"/>
      <c r="AA137" s="377"/>
    </row>
    <row r="138" spans="3:27" s="3" customFormat="1" x14ac:dyDescent="0.3">
      <c r="C138" s="221"/>
      <c r="D138" s="4"/>
      <c r="E138" s="190"/>
      <c r="F138" s="190"/>
      <c r="G138" s="240"/>
      <c r="H138" s="240"/>
      <c r="I138" s="190"/>
      <c r="K138" s="390"/>
      <c r="L138" s="4"/>
      <c r="M138" s="190"/>
      <c r="N138" s="190"/>
      <c r="O138" s="190"/>
      <c r="P138" s="190"/>
      <c r="Q138" s="190"/>
      <c r="R138" s="4"/>
      <c r="S138" s="376"/>
      <c r="T138" s="4"/>
      <c r="U138" s="190"/>
      <c r="V138" s="190"/>
      <c r="W138" s="190"/>
      <c r="X138" s="190"/>
      <c r="Y138" s="221"/>
      <c r="AA138" s="377"/>
    </row>
    <row r="139" spans="3:27" s="3" customFormat="1" x14ac:dyDescent="0.3">
      <c r="C139" s="221"/>
      <c r="D139" s="4"/>
      <c r="E139" s="190"/>
      <c r="F139" s="190"/>
      <c r="G139" s="240"/>
      <c r="H139" s="240"/>
      <c r="I139" s="190"/>
      <c r="K139" s="390"/>
      <c r="L139" s="4"/>
      <c r="M139" s="190"/>
      <c r="N139" s="190"/>
      <c r="O139" s="190"/>
      <c r="P139" s="190"/>
      <c r="Q139" s="190"/>
      <c r="R139" s="4"/>
      <c r="S139" s="376"/>
      <c r="T139" s="4"/>
      <c r="U139" s="190"/>
      <c r="V139" s="190"/>
      <c r="W139" s="190"/>
      <c r="X139" s="190"/>
      <c r="Y139" s="221"/>
      <c r="AA139" s="377"/>
    </row>
    <row r="140" spans="3:27" s="3" customFormat="1" x14ac:dyDescent="0.3">
      <c r="C140" s="221"/>
      <c r="D140" s="4"/>
      <c r="E140" s="190"/>
      <c r="F140" s="190"/>
      <c r="G140" s="240"/>
      <c r="H140" s="240"/>
      <c r="I140" s="190"/>
      <c r="K140" s="390"/>
      <c r="L140" s="4"/>
      <c r="M140" s="190"/>
      <c r="N140" s="190"/>
      <c r="O140" s="190"/>
      <c r="P140" s="190"/>
      <c r="Q140" s="190"/>
      <c r="R140" s="4"/>
      <c r="S140" s="376"/>
      <c r="T140" s="4"/>
      <c r="U140" s="190"/>
      <c r="V140" s="190"/>
      <c r="W140" s="190"/>
      <c r="X140" s="190"/>
      <c r="Y140" s="221"/>
      <c r="AA140" s="377"/>
    </row>
    <row r="141" spans="3:27" s="3" customFormat="1" x14ac:dyDescent="0.3">
      <c r="C141" s="221"/>
      <c r="D141" s="4"/>
      <c r="E141" s="190"/>
      <c r="F141" s="190"/>
      <c r="G141" s="240"/>
      <c r="H141" s="240"/>
      <c r="I141" s="190"/>
      <c r="K141" s="390"/>
      <c r="L141" s="4"/>
      <c r="M141" s="190"/>
      <c r="N141" s="190"/>
      <c r="O141" s="190"/>
      <c r="P141" s="190"/>
      <c r="Q141" s="190"/>
      <c r="R141" s="4"/>
      <c r="S141" s="376"/>
      <c r="T141" s="4"/>
      <c r="U141" s="190"/>
      <c r="V141" s="190"/>
      <c r="W141" s="190"/>
      <c r="X141" s="190"/>
      <c r="Y141" s="221"/>
      <c r="AA141" s="377"/>
    </row>
    <row r="142" spans="3:27" s="3" customFormat="1" x14ac:dyDescent="0.3">
      <c r="C142" s="221"/>
      <c r="D142" s="4"/>
      <c r="E142" s="190"/>
      <c r="F142" s="190"/>
      <c r="G142" s="240"/>
      <c r="H142" s="240"/>
      <c r="I142" s="190"/>
      <c r="K142" s="390"/>
      <c r="L142" s="4"/>
      <c r="M142" s="190"/>
      <c r="N142" s="190"/>
      <c r="O142" s="190"/>
      <c r="P142" s="190"/>
      <c r="Q142" s="190"/>
      <c r="R142" s="4"/>
      <c r="S142" s="376"/>
      <c r="T142" s="4"/>
      <c r="U142" s="190"/>
      <c r="V142" s="190"/>
      <c r="W142" s="190"/>
      <c r="X142" s="190"/>
      <c r="Y142" s="221"/>
      <c r="AA142" s="377"/>
    </row>
    <row r="143" spans="3:27" s="3" customFormat="1" x14ac:dyDescent="0.3">
      <c r="C143" s="221"/>
      <c r="D143" s="4"/>
      <c r="E143" s="190"/>
      <c r="F143" s="190"/>
      <c r="G143" s="240"/>
      <c r="H143" s="240"/>
      <c r="I143" s="190"/>
      <c r="K143" s="390"/>
      <c r="L143" s="4"/>
      <c r="M143" s="190"/>
      <c r="N143" s="190"/>
      <c r="O143" s="190"/>
      <c r="P143" s="190"/>
      <c r="Q143" s="190"/>
      <c r="R143" s="4"/>
      <c r="S143" s="376"/>
      <c r="T143" s="4"/>
      <c r="U143" s="190"/>
      <c r="V143" s="190"/>
      <c r="W143" s="190"/>
      <c r="X143" s="190"/>
      <c r="Y143" s="221"/>
      <c r="AA143" s="377"/>
    </row>
    <row r="144" spans="3:27" s="3" customFormat="1" x14ac:dyDescent="0.3">
      <c r="C144" s="221"/>
      <c r="D144" s="4"/>
      <c r="E144" s="190"/>
      <c r="F144" s="190"/>
      <c r="G144" s="240"/>
      <c r="H144" s="240"/>
      <c r="I144" s="190"/>
      <c r="K144" s="390"/>
      <c r="L144" s="4"/>
      <c r="M144" s="190"/>
      <c r="N144" s="190"/>
      <c r="O144" s="190"/>
      <c r="P144" s="190"/>
      <c r="Q144" s="190"/>
      <c r="R144" s="4"/>
      <c r="S144" s="376"/>
      <c r="T144" s="4"/>
      <c r="U144" s="190"/>
      <c r="V144" s="190"/>
      <c r="W144" s="190"/>
      <c r="X144" s="190"/>
      <c r="Y144" s="221"/>
      <c r="AA144" s="377"/>
    </row>
    <row r="145" spans="3:27" s="3" customFormat="1" x14ac:dyDescent="0.3">
      <c r="C145" s="221"/>
      <c r="D145" s="4"/>
      <c r="E145" s="190"/>
      <c r="F145" s="190"/>
      <c r="G145" s="240"/>
      <c r="H145" s="240"/>
      <c r="I145" s="190"/>
      <c r="K145" s="390"/>
      <c r="L145" s="4"/>
      <c r="M145" s="190"/>
      <c r="N145" s="190"/>
      <c r="O145" s="190"/>
      <c r="P145" s="190"/>
      <c r="Q145" s="190"/>
      <c r="R145" s="4"/>
      <c r="S145" s="376"/>
      <c r="T145" s="4"/>
      <c r="U145" s="190"/>
      <c r="V145" s="190"/>
      <c r="W145" s="190"/>
      <c r="X145" s="190"/>
      <c r="Y145" s="221"/>
      <c r="AA145" s="377"/>
    </row>
    <row r="146" spans="3:27" s="3" customFormat="1" x14ac:dyDescent="0.3">
      <c r="C146" s="221"/>
      <c r="D146" s="4"/>
      <c r="E146" s="190"/>
      <c r="F146" s="190"/>
      <c r="G146" s="240"/>
      <c r="H146" s="240"/>
      <c r="I146" s="190"/>
      <c r="K146" s="390"/>
      <c r="L146" s="4"/>
      <c r="M146" s="190"/>
      <c r="N146" s="190"/>
      <c r="O146" s="190"/>
      <c r="P146" s="190"/>
      <c r="Q146" s="190"/>
      <c r="R146" s="4"/>
      <c r="S146" s="376"/>
      <c r="T146" s="4"/>
      <c r="U146" s="190"/>
      <c r="V146" s="190"/>
      <c r="W146" s="190"/>
      <c r="X146" s="190"/>
      <c r="Y146" s="221"/>
      <c r="AA146" s="377"/>
    </row>
    <row r="147" spans="3:27" s="3" customFormat="1" x14ac:dyDescent="0.3">
      <c r="C147" s="221"/>
      <c r="D147" s="4"/>
      <c r="E147" s="190"/>
      <c r="F147" s="190"/>
      <c r="G147" s="240"/>
      <c r="H147" s="240"/>
      <c r="I147" s="190"/>
      <c r="K147" s="390"/>
      <c r="L147" s="4"/>
      <c r="M147" s="190"/>
      <c r="N147" s="190"/>
      <c r="O147" s="190"/>
      <c r="P147" s="190"/>
      <c r="Q147" s="190"/>
      <c r="R147" s="4"/>
      <c r="S147" s="376"/>
      <c r="T147" s="4"/>
      <c r="U147" s="190"/>
      <c r="V147" s="190"/>
      <c r="W147" s="190"/>
      <c r="X147" s="190"/>
      <c r="Y147" s="221"/>
      <c r="AA147" s="377"/>
    </row>
    <row r="148" spans="3:27" s="3" customFormat="1" x14ac:dyDescent="0.3">
      <c r="C148" s="221"/>
      <c r="D148" s="4"/>
      <c r="E148" s="190"/>
      <c r="F148" s="190"/>
      <c r="G148" s="240"/>
      <c r="H148" s="240"/>
      <c r="I148" s="190"/>
      <c r="K148" s="390"/>
      <c r="L148" s="4"/>
      <c r="M148" s="190"/>
      <c r="N148" s="190"/>
      <c r="O148" s="190"/>
      <c r="P148" s="190"/>
      <c r="Q148" s="190"/>
      <c r="R148" s="4"/>
      <c r="S148" s="376"/>
      <c r="T148" s="4"/>
      <c r="U148" s="190"/>
      <c r="V148" s="190"/>
      <c r="W148" s="190"/>
      <c r="X148" s="190"/>
      <c r="Y148" s="221"/>
      <c r="AA148" s="377"/>
    </row>
    <row r="149" spans="3:27" s="3" customFormat="1" x14ac:dyDescent="0.3">
      <c r="C149" s="221"/>
      <c r="D149" s="4"/>
      <c r="E149" s="190"/>
      <c r="F149" s="190"/>
      <c r="G149" s="240"/>
      <c r="H149" s="240"/>
      <c r="I149" s="190"/>
      <c r="K149" s="390"/>
      <c r="L149" s="4"/>
      <c r="M149" s="190"/>
      <c r="N149" s="190"/>
      <c r="O149" s="190"/>
      <c r="P149" s="190"/>
      <c r="Q149" s="190"/>
      <c r="R149" s="4"/>
      <c r="S149" s="376"/>
      <c r="T149" s="4"/>
      <c r="U149" s="190"/>
      <c r="V149" s="190"/>
      <c r="W149" s="190"/>
      <c r="X149" s="190"/>
      <c r="Y149" s="221"/>
      <c r="AA149" s="377"/>
    </row>
    <row r="150" spans="3:27" s="3" customFormat="1" x14ac:dyDescent="0.3">
      <c r="C150" s="221"/>
      <c r="D150" s="4"/>
      <c r="E150" s="190"/>
      <c r="F150" s="190"/>
      <c r="G150" s="240"/>
      <c r="H150" s="240"/>
      <c r="I150" s="190"/>
      <c r="K150" s="390"/>
      <c r="L150" s="4"/>
      <c r="M150" s="190"/>
      <c r="N150" s="190"/>
      <c r="O150" s="190"/>
      <c r="P150" s="190"/>
      <c r="Q150" s="190"/>
      <c r="R150" s="4"/>
      <c r="S150" s="376"/>
      <c r="T150" s="4"/>
      <c r="U150" s="190"/>
      <c r="V150" s="190"/>
      <c r="W150" s="190"/>
      <c r="X150" s="190"/>
      <c r="Y150" s="221"/>
      <c r="AA150" s="377"/>
    </row>
    <row r="151" spans="3:27" s="3" customFormat="1" x14ac:dyDescent="0.3">
      <c r="C151" s="221"/>
      <c r="D151" s="4"/>
      <c r="E151" s="190"/>
      <c r="F151" s="190"/>
      <c r="G151" s="240"/>
      <c r="H151" s="240"/>
      <c r="I151" s="190"/>
      <c r="K151" s="390"/>
      <c r="L151" s="4"/>
      <c r="M151" s="190"/>
      <c r="N151" s="190"/>
      <c r="O151" s="190"/>
      <c r="P151" s="190"/>
      <c r="Q151" s="190"/>
      <c r="R151" s="4"/>
      <c r="S151" s="376"/>
      <c r="T151" s="4"/>
      <c r="U151" s="190"/>
      <c r="V151" s="190"/>
      <c r="W151" s="190"/>
      <c r="X151" s="190"/>
      <c r="Y151" s="221"/>
      <c r="AA151" s="377"/>
    </row>
    <row r="152" spans="3:27" s="3" customFormat="1" x14ac:dyDescent="0.3">
      <c r="C152" s="221"/>
      <c r="D152" s="4"/>
      <c r="E152" s="190"/>
      <c r="F152" s="190"/>
      <c r="G152" s="240"/>
      <c r="H152" s="240"/>
      <c r="I152" s="190"/>
      <c r="K152" s="390"/>
      <c r="L152" s="4"/>
      <c r="M152" s="190"/>
      <c r="N152" s="190"/>
      <c r="O152" s="190"/>
      <c r="P152" s="190"/>
      <c r="Q152" s="190"/>
      <c r="R152" s="4"/>
      <c r="S152" s="376"/>
      <c r="T152" s="4"/>
      <c r="U152" s="190"/>
      <c r="V152" s="190"/>
      <c r="W152" s="190"/>
      <c r="X152" s="190"/>
      <c r="Y152" s="221"/>
      <c r="AA152" s="377"/>
    </row>
    <row r="153" spans="3:27" s="3" customFormat="1" x14ac:dyDescent="0.3">
      <c r="C153" s="221"/>
      <c r="D153" s="4"/>
      <c r="E153" s="190"/>
      <c r="F153" s="190"/>
      <c r="G153" s="240"/>
      <c r="H153" s="240"/>
      <c r="I153" s="190"/>
      <c r="K153" s="390"/>
      <c r="L153" s="4"/>
      <c r="M153" s="190"/>
      <c r="N153" s="190"/>
      <c r="O153" s="190"/>
      <c r="P153" s="190"/>
      <c r="Q153" s="190"/>
      <c r="R153" s="4"/>
      <c r="S153" s="376"/>
      <c r="T153" s="4"/>
      <c r="U153" s="190"/>
      <c r="V153" s="190"/>
      <c r="W153" s="190"/>
      <c r="X153" s="190"/>
      <c r="Y153" s="221"/>
      <c r="AA153" s="377"/>
    </row>
    <row r="154" spans="3:27" s="3" customFormat="1" x14ac:dyDescent="0.3">
      <c r="C154" s="221"/>
      <c r="D154" s="4"/>
      <c r="E154" s="190"/>
      <c r="F154" s="190"/>
      <c r="G154" s="240"/>
      <c r="H154" s="240"/>
      <c r="I154" s="190"/>
      <c r="K154" s="390"/>
      <c r="L154" s="4"/>
      <c r="M154" s="190"/>
      <c r="N154" s="190"/>
      <c r="O154" s="190"/>
      <c r="P154" s="190"/>
      <c r="Q154" s="190"/>
      <c r="R154" s="4"/>
      <c r="S154" s="376"/>
      <c r="T154" s="4"/>
      <c r="U154" s="190"/>
      <c r="V154" s="190"/>
      <c r="W154" s="190"/>
      <c r="X154" s="190"/>
      <c r="Y154" s="221"/>
      <c r="AA154" s="377"/>
    </row>
    <row r="155" spans="3:27" s="3" customFormat="1" x14ac:dyDescent="0.3">
      <c r="C155" s="221"/>
      <c r="D155" s="4"/>
      <c r="E155" s="190"/>
      <c r="F155" s="190"/>
      <c r="G155" s="240"/>
      <c r="H155" s="240"/>
      <c r="I155" s="190"/>
      <c r="K155" s="390"/>
      <c r="L155" s="4"/>
      <c r="M155" s="190"/>
      <c r="N155" s="190"/>
      <c r="O155" s="190"/>
      <c r="P155" s="190"/>
      <c r="Q155" s="190"/>
      <c r="R155" s="4"/>
      <c r="S155" s="376"/>
      <c r="T155" s="4"/>
      <c r="U155" s="190"/>
      <c r="V155" s="190"/>
      <c r="W155" s="190"/>
      <c r="X155" s="190"/>
      <c r="Y155" s="221"/>
      <c r="AA155" s="377"/>
    </row>
    <row r="156" spans="3:27" s="3" customFormat="1" x14ac:dyDescent="0.3">
      <c r="C156" s="221"/>
      <c r="D156" s="4"/>
      <c r="E156" s="190"/>
      <c r="F156" s="190"/>
      <c r="G156" s="240"/>
      <c r="H156" s="240"/>
      <c r="I156" s="190"/>
      <c r="K156" s="390"/>
      <c r="L156" s="4"/>
      <c r="M156" s="190"/>
      <c r="N156" s="190"/>
      <c r="O156" s="190"/>
      <c r="P156" s="190"/>
      <c r="Q156" s="190"/>
      <c r="R156" s="4"/>
      <c r="S156" s="376"/>
      <c r="T156" s="4"/>
      <c r="U156" s="190"/>
      <c r="V156" s="190"/>
      <c r="W156" s="190"/>
      <c r="X156" s="190"/>
      <c r="Y156" s="221"/>
      <c r="AA156" s="377"/>
    </row>
    <row r="157" spans="3:27" s="3" customFormat="1" x14ac:dyDescent="0.3">
      <c r="C157" s="221"/>
      <c r="D157" s="4"/>
      <c r="E157" s="190"/>
      <c r="F157" s="190"/>
      <c r="G157" s="240"/>
      <c r="H157" s="240"/>
      <c r="I157" s="190"/>
      <c r="K157" s="390"/>
      <c r="L157" s="4"/>
      <c r="M157" s="190"/>
      <c r="N157" s="190"/>
      <c r="O157" s="190"/>
      <c r="P157" s="190"/>
      <c r="Q157" s="190"/>
      <c r="R157" s="4"/>
      <c r="S157" s="376"/>
      <c r="T157" s="4"/>
      <c r="U157" s="190"/>
      <c r="V157" s="190"/>
      <c r="W157" s="190"/>
      <c r="X157" s="190"/>
      <c r="Y157" s="221"/>
      <c r="AA157" s="377"/>
    </row>
    <row r="158" spans="3:27" s="3" customFormat="1" x14ac:dyDescent="0.3">
      <c r="C158" s="221"/>
      <c r="D158" s="4"/>
      <c r="E158" s="190"/>
      <c r="F158" s="190"/>
      <c r="G158" s="240"/>
      <c r="H158" s="240"/>
      <c r="I158" s="190"/>
      <c r="K158" s="390"/>
      <c r="L158" s="4"/>
      <c r="M158" s="190"/>
      <c r="N158" s="190"/>
      <c r="O158" s="190"/>
      <c r="P158" s="190"/>
      <c r="Q158" s="190"/>
      <c r="R158" s="4"/>
      <c r="S158" s="376"/>
      <c r="T158" s="4"/>
      <c r="U158" s="190"/>
      <c r="V158" s="190"/>
      <c r="W158" s="190"/>
      <c r="X158" s="190"/>
      <c r="Y158" s="221"/>
      <c r="AA158" s="377"/>
    </row>
    <row r="159" spans="3:27" s="3" customFormat="1" x14ac:dyDescent="0.3">
      <c r="C159" s="221"/>
      <c r="D159" s="4"/>
      <c r="E159" s="190"/>
      <c r="F159" s="190"/>
      <c r="G159" s="240"/>
      <c r="H159" s="240"/>
      <c r="I159" s="190"/>
      <c r="K159" s="390"/>
      <c r="L159" s="4"/>
      <c r="M159" s="190"/>
      <c r="N159" s="190"/>
      <c r="O159" s="190"/>
      <c r="P159" s="190"/>
      <c r="Q159" s="190"/>
      <c r="R159" s="4"/>
      <c r="S159" s="376"/>
      <c r="T159" s="4"/>
      <c r="U159" s="190"/>
      <c r="V159" s="190"/>
      <c r="W159" s="190"/>
      <c r="X159" s="190"/>
      <c r="Y159" s="221"/>
      <c r="AA159" s="377"/>
    </row>
    <row r="160" spans="3:27" s="3" customFormat="1" x14ac:dyDescent="0.3">
      <c r="C160" s="221"/>
      <c r="D160" s="4"/>
      <c r="E160" s="190"/>
      <c r="F160" s="190"/>
      <c r="G160" s="240"/>
      <c r="H160" s="240"/>
      <c r="I160" s="190"/>
      <c r="K160" s="390"/>
      <c r="L160" s="4"/>
      <c r="M160" s="190"/>
      <c r="N160" s="190"/>
      <c r="O160" s="190"/>
      <c r="P160" s="190"/>
      <c r="Q160" s="190"/>
      <c r="R160" s="4"/>
      <c r="S160" s="376"/>
      <c r="T160" s="4"/>
      <c r="U160" s="190"/>
      <c r="V160" s="190"/>
      <c r="W160" s="190"/>
      <c r="X160" s="190"/>
      <c r="Y160" s="221"/>
      <c r="AA160" s="377"/>
    </row>
    <row r="161" spans="3:27" s="3" customFormat="1" x14ac:dyDescent="0.3">
      <c r="C161" s="221"/>
      <c r="D161" s="4"/>
      <c r="E161" s="190"/>
      <c r="F161" s="190"/>
      <c r="G161" s="240"/>
      <c r="H161" s="240"/>
      <c r="I161" s="190"/>
      <c r="K161" s="390"/>
      <c r="L161" s="4"/>
      <c r="M161" s="190"/>
      <c r="N161" s="190"/>
      <c r="O161" s="190"/>
      <c r="P161" s="190"/>
      <c r="Q161" s="190"/>
      <c r="R161" s="4"/>
      <c r="S161" s="376"/>
      <c r="T161" s="4"/>
      <c r="U161" s="190"/>
      <c r="V161" s="190"/>
      <c r="W161" s="190"/>
      <c r="X161" s="190"/>
      <c r="Y161" s="221"/>
      <c r="AA161" s="377"/>
    </row>
    <row r="162" spans="3:27" s="3" customFormat="1" x14ac:dyDescent="0.3">
      <c r="C162" s="221"/>
      <c r="D162" s="4"/>
      <c r="E162" s="190"/>
      <c r="F162" s="190"/>
      <c r="G162" s="240"/>
      <c r="H162" s="240"/>
      <c r="I162" s="190"/>
      <c r="K162" s="390"/>
      <c r="L162" s="4"/>
      <c r="M162" s="190"/>
      <c r="N162" s="190"/>
      <c r="O162" s="190"/>
      <c r="P162" s="190"/>
      <c r="Q162" s="190"/>
      <c r="R162" s="4"/>
      <c r="S162" s="376"/>
      <c r="T162" s="4"/>
      <c r="U162" s="190"/>
      <c r="V162" s="190"/>
      <c r="W162" s="190"/>
      <c r="X162" s="190"/>
      <c r="Y162" s="221"/>
      <c r="AA162" s="377"/>
    </row>
    <row r="163" spans="3:27" s="3" customFormat="1" x14ac:dyDescent="0.3">
      <c r="C163" s="221"/>
      <c r="D163" s="4"/>
      <c r="E163" s="190"/>
      <c r="F163" s="190"/>
      <c r="G163" s="240"/>
      <c r="H163" s="240"/>
      <c r="I163" s="190"/>
      <c r="K163" s="390"/>
      <c r="L163" s="4"/>
      <c r="M163" s="190"/>
      <c r="N163" s="190"/>
      <c r="O163" s="190"/>
      <c r="P163" s="190"/>
      <c r="Q163" s="190"/>
      <c r="R163" s="4"/>
      <c r="S163" s="376"/>
      <c r="T163" s="4"/>
      <c r="U163" s="190"/>
      <c r="V163" s="190"/>
      <c r="W163" s="190"/>
      <c r="X163" s="190"/>
      <c r="Y163" s="221"/>
      <c r="AA163" s="377"/>
    </row>
    <row r="164" spans="3:27" s="3" customFormat="1" x14ac:dyDescent="0.3">
      <c r="C164" s="221"/>
      <c r="D164" s="4"/>
      <c r="E164" s="190"/>
      <c r="F164" s="190"/>
      <c r="G164" s="240"/>
      <c r="H164" s="240"/>
      <c r="I164" s="190"/>
      <c r="K164" s="390"/>
      <c r="L164" s="4"/>
      <c r="M164" s="190"/>
      <c r="N164" s="190"/>
      <c r="O164" s="190"/>
      <c r="P164" s="190"/>
      <c r="Q164" s="190"/>
      <c r="R164" s="4"/>
      <c r="S164" s="376"/>
      <c r="T164" s="4"/>
      <c r="U164" s="190"/>
      <c r="V164" s="190"/>
      <c r="W164" s="190"/>
      <c r="X164" s="190"/>
      <c r="Y164" s="221"/>
      <c r="AA164" s="377"/>
    </row>
  </sheetData>
  <mergeCells count="9">
    <mergeCell ref="M8:S8"/>
    <mergeCell ref="U8:AA8"/>
    <mergeCell ref="E8:K8"/>
    <mergeCell ref="E56:K56"/>
    <mergeCell ref="M56:S56"/>
    <mergeCell ref="U56:AA56"/>
    <mergeCell ref="E9:K9"/>
    <mergeCell ref="U9:AA9"/>
    <mergeCell ref="M9:S9"/>
  </mergeCells>
  <pageMargins left="0.7" right="0.7" top="0.75" bottom="0.75" header="0.3" footer="0.3"/>
  <pageSetup scale="41" orientation="landscape" r:id="rId1"/>
  <headerFooter scaleWithDoc="0">
    <oddHeader>&amp;R&amp;G</oddHeader>
    <oddFooter xml:space="preserve">&amp;L&amp;G&amp;C&amp;9DRAFT - &amp;D&amp;R&amp;9Page &amp;P </oddFooter>
  </headerFooter>
  <colBreaks count="1" manualBreakCount="1">
    <brk id="19" max="1048575" man="1"/>
  </colBreaks>
  <ignoredErrors>
    <ignoredError sqref="I42 Q42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D860-E170-48B6-BB31-12C13AEADDF8}">
  <sheetPr>
    <tabColor theme="2" tint="-0.249977111117893"/>
  </sheetPr>
  <dimension ref="A1:O39"/>
  <sheetViews>
    <sheetView view="pageLayout" topLeftCell="A7" zoomScaleNormal="80" workbookViewId="0">
      <selection sqref="A1:XFD1"/>
    </sheetView>
  </sheetViews>
  <sheetFormatPr defaultColWidth="8.7265625" defaultRowHeight="14" x14ac:dyDescent="0.3"/>
  <cols>
    <col min="1" max="1" width="3" style="1" customWidth="1"/>
    <col min="2" max="2" width="13.54296875" style="1" customWidth="1"/>
    <col min="3" max="3" width="35.81640625" style="1" customWidth="1"/>
    <col min="4" max="4" width="13.6328125" style="68" customWidth="1"/>
    <col min="5" max="5" width="13.36328125" style="1" customWidth="1"/>
    <col min="6" max="6" width="13.6328125" style="1" customWidth="1"/>
    <col min="7" max="7" width="3.6328125" style="1" customWidth="1"/>
    <col min="8" max="8" width="12.54296875" style="1" customWidth="1"/>
    <col min="9" max="9" width="8.7265625" style="1"/>
    <col min="10" max="10" width="47.90625" style="1" customWidth="1"/>
    <col min="11" max="11" width="43.453125" style="1" customWidth="1"/>
    <col min="12" max="12" width="34.26953125" style="1" customWidth="1"/>
    <col min="13" max="13" width="10" style="1" customWidth="1"/>
    <col min="14" max="14" width="4.90625" style="1" customWidth="1"/>
    <col min="15" max="15" width="28.453125" style="1" customWidth="1"/>
    <col min="16" max="18" width="8.7265625" style="1"/>
    <col min="19" max="19" width="5.26953125" style="1" customWidth="1"/>
    <col min="20" max="20" width="23" style="1" customWidth="1"/>
    <col min="21" max="21" width="15" style="1" customWidth="1"/>
    <col min="22" max="22" width="8.7265625" style="1"/>
    <col min="23" max="23" width="21.453125" style="1" customWidth="1"/>
    <col min="24" max="16384" width="8.7265625" style="1"/>
  </cols>
  <sheetData>
    <row r="1" spans="1:15" ht="35" customHeight="1" thickBot="1" x14ac:dyDescent="0.45">
      <c r="A1" s="2"/>
      <c r="B1" s="427" t="s">
        <v>152</v>
      </c>
      <c r="C1" s="428"/>
      <c r="D1" s="428"/>
      <c r="E1" s="428"/>
      <c r="F1" s="428"/>
      <c r="G1" s="428"/>
      <c r="H1" s="429"/>
      <c r="I1" s="265"/>
      <c r="J1" s="270"/>
      <c r="K1" s="270"/>
      <c r="L1" s="270"/>
      <c r="M1" s="253"/>
      <c r="N1" s="253"/>
      <c r="O1" s="4"/>
    </row>
    <row r="2" spans="1:15" ht="18" customHeight="1" thickBot="1" x14ac:dyDescent="0.5">
      <c r="C2" s="17"/>
      <c r="D2" s="35"/>
      <c r="E2" s="17"/>
      <c r="F2" s="66"/>
      <c r="G2" s="17"/>
      <c r="H2" s="272"/>
      <c r="I2" s="114"/>
      <c r="J2" s="83"/>
      <c r="K2" s="17"/>
      <c r="L2" s="17"/>
      <c r="M2" s="17"/>
      <c r="N2" s="17"/>
    </row>
    <row r="3" spans="1:15" ht="18" customHeight="1" thickBot="1" x14ac:dyDescent="0.5">
      <c r="B3" s="344" t="s">
        <v>38</v>
      </c>
      <c r="C3" s="345"/>
      <c r="D3" s="91"/>
      <c r="E3" s="92"/>
      <c r="F3" s="93"/>
      <c r="G3" s="17"/>
      <c r="H3" s="17"/>
      <c r="I3" s="113"/>
      <c r="J3" s="40"/>
      <c r="K3" s="17"/>
      <c r="L3" s="17"/>
      <c r="M3" s="17"/>
      <c r="N3" s="17"/>
    </row>
    <row r="4" spans="1:15" ht="18" customHeight="1" x14ac:dyDescent="0.45">
      <c r="B4" s="332" t="s">
        <v>39</v>
      </c>
      <c r="C4" s="333" t="s">
        <v>137</v>
      </c>
      <c r="D4" s="35"/>
      <c r="E4" s="17"/>
      <c r="F4" s="66"/>
      <c r="G4" s="17"/>
      <c r="H4" s="17"/>
      <c r="I4" s="113"/>
      <c r="L4" s="115"/>
      <c r="M4" s="115"/>
      <c r="N4" s="17"/>
    </row>
    <row r="5" spans="1:15" s="83" customFormat="1" ht="18" customHeight="1" x14ac:dyDescent="0.3">
      <c r="B5" s="334" t="s">
        <v>40</v>
      </c>
      <c r="C5" s="335" t="s">
        <v>138</v>
      </c>
      <c r="D5" s="87"/>
      <c r="E5" s="87"/>
      <c r="F5" s="87"/>
      <c r="G5" s="84"/>
      <c r="H5" s="84"/>
      <c r="L5" s="1"/>
      <c r="M5" s="1"/>
      <c r="N5" s="84"/>
    </row>
    <row r="6" spans="1:15" s="40" customFormat="1" ht="18" customHeight="1" thickBot="1" x14ac:dyDescent="0.35">
      <c r="B6" s="336" t="s">
        <v>2</v>
      </c>
      <c r="C6" s="346">
        <v>2</v>
      </c>
      <c r="D6" s="85"/>
      <c r="E6" s="82"/>
      <c r="F6" s="82"/>
      <c r="G6" s="67"/>
      <c r="L6" s="1"/>
      <c r="M6" s="1"/>
      <c r="N6" s="67"/>
    </row>
    <row r="7" spans="1:15" ht="15" customHeight="1" x14ac:dyDescent="0.3">
      <c r="C7" s="17"/>
      <c r="D7" s="35"/>
      <c r="E7" s="17"/>
      <c r="F7" s="17"/>
      <c r="G7" s="17"/>
      <c r="I7" s="17"/>
      <c r="L7" s="2"/>
      <c r="M7" s="2"/>
      <c r="N7" s="17"/>
    </row>
    <row r="8" spans="1:15" ht="16.5" customHeight="1" x14ac:dyDescent="0.3">
      <c r="C8" s="34" t="s">
        <v>71</v>
      </c>
      <c r="D8" s="69" t="s">
        <v>2</v>
      </c>
      <c r="E8" s="70" t="s">
        <v>72</v>
      </c>
      <c r="F8" s="70" t="s">
        <v>73</v>
      </c>
      <c r="G8" s="30"/>
      <c r="H8" s="17"/>
      <c r="I8" s="17"/>
      <c r="N8" s="17"/>
    </row>
    <row r="9" spans="1:15" ht="16.5" customHeight="1" x14ac:dyDescent="0.3">
      <c r="C9" s="36" t="s">
        <v>4</v>
      </c>
      <c r="D9" s="71">
        <v>28755</v>
      </c>
      <c r="E9" s="282">
        <v>7620</v>
      </c>
      <c r="F9" s="283">
        <f>SUM(D9-E9)</f>
        <v>21135</v>
      </c>
      <c r="G9" s="30"/>
      <c r="H9" s="17"/>
      <c r="I9" s="17"/>
      <c r="J9" s="2"/>
      <c r="K9" s="2"/>
      <c r="L9" s="2"/>
      <c r="M9" s="2"/>
      <c r="N9" s="17"/>
      <c r="O9" s="2"/>
    </row>
    <row r="10" spans="1:15" ht="16.5" customHeight="1" x14ac:dyDescent="0.3">
      <c r="C10" s="18" t="s">
        <v>74</v>
      </c>
      <c r="D10" s="71"/>
      <c r="E10" s="284" t="s">
        <v>139</v>
      </c>
      <c r="F10" s="285" t="s">
        <v>140</v>
      </c>
      <c r="G10" s="30"/>
      <c r="H10" s="17"/>
      <c r="I10" s="17"/>
      <c r="J10" s="2"/>
      <c r="K10" s="2"/>
      <c r="L10" s="2"/>
      <c r="M10" s="2"/>
      <c r="N10" s="17"/>
      <c r="O10" s="2"/>
    </row>
    <row r="11" spans="1:15" ht="30.5" customHeight="1" x14ac:dyDescent="0.3">
      <c r="C11" s="18" t="s">
        <v>35</v>
      </c>
      <c r="D11" s="71"/>
      <c r="E11" s="285" t="s">
        <v>116</v>
      </c>
      <c r="F11" s="285" t="s">
        <v>150</v>
      </c>
      <c r="G11" s="23"/>
      <c r="H11" s="17"/>
      <c r="I11" s="17"/>
      <c r="J11" s="115"/>
      <c r="K11" s="115"/>
      <c r="L11" s="80"/>
      <c r="M11" s="17"/>
      <c r="N11" s="17"/>
      <c r="O11" s="2"/>
    </row>
    <row r="12" spans="1:15" ht="16.5" customHeight="1" x14ac:dyDescent="0.3">
      <c r="C12" s="18" t="s">
        <v>28</v>
      </c>
      <c r="D12" s="71"/>
      <c r="E12" s="284">
        <v>53</v>
      </c>
      <c r="F12" s="284">
        <v>194</v>
      </c>
      <c r="G12" s="23"/>
      <c r="H12" s="23"/>
      <c r="I12" s="17"/>
      <c r="J12" s="124"/>
      <c r="K12" s="124"/>
      <c r="L12" s="80"/>
      <c r="M12" s="17"/>
      <c r="N12" s="17"/>
      <c r="O12" s="2"/>
    </row>
    <row r="13" spans="1:15" ht="16.5" customHeight="1" x14ac:dyDescent="0.3">
      <c r="C13" s="18" t="s">
        <v>5</v>
      </c>
      <c r="D13" s="72"/>
      <c r="E13" s="290">
        <v>6730</v>
      </c>
      <c r="F13" s="290">
        <f>SUM(720*18)</f>
        <v>12960</v>
      </c>
      <c r="G13" s="23"/>
      <c r="H13" s="23"/>
      <c r="I13" s="17"/>
      <c r="J13" s="2"/>
      <c r="K13" s="17"/>
      <c r="L13" s="80"/>
      <c r="M13" s="17"/>
      <c r="N13" s="17"/>
      <c r="O13" s="2"/>
    </row>
    <row r="14" spans="1:15" ht="16.5" customHeight="1" x14ac:dyDescent="0.3">
      <c r="C14" s="18" t="s">
        <v>6</v>
      </c>
      <c r="D14" s="71"/>
      <c r="E14" s="290">
        <v>1630</v>
      </c>
      <c r="F14" s="284"/>
      <c r="G14" s="23"/>
      <c r="H14" s="23"/>
      <c r="I14" s="17"/>
      <c r="J14" s="123"/>
      <c r="K14" s="17"/>
      <c r="L14" s="80"/>
      <c r="M14" s="17"/>
      <c r="N14" s="17"/>
      <c r="O14" s="2"/>
    </row>
    <row r="15" spans="1:15" ht="16.5" customHeight="1" x14ac:dyDescent="0.3">
      <c r="C15" s="18" t="s">
        <v>7</v>
      </c>
      <c r="D15" s="71"/>
      <c r="E15" s="284">
        <f>SUM(E13-E26)</f>
        <v>3650</v>
      </c>
      <c r="F15" s="284"/>
      <c r="G15" s="23"/>
      <c r="H15" s="23"/>
      <c r="I15" s="2"/>
      <c r="J15" s="123"/>
      <c r="K15" s="17"/>
      <c r="L15" s="2"/>
      <c r="M15" s="2"/>
      <c r="N15" s="2"/>
      <c r="O15" s="2"/>
    </row>
    <row r="16" spans="1:15" ht="16.5" customHeight="1" x14ac:dyDescent="0.3">
      <c r="C16" s="18" t="s">
        <v>75</v>
      </c>
      <c r="D16" s="281">
        <f>SUM(E16:F16)</f>
        <v>40275</v>
      </c>
      <c r="E16" s="286">
        <f>(E17*E18)+(E19*E20)</f>
        <v>14355</v>
      </c>
      <c r="F16" s="286">
        <f>(F17*F18)+(F19*F20)</f>
        <v>25920</v>
      </c>
      <c r="G16" s="23"/>
      <c r="H16" s="23"/>
      <c r="I16" s="2"/>
      <c r="J16" s="2"/>
      <c r="K16" s="2"/>
      <c r="L16" s="2"/>
      <c r="M16" s="2"/>
      <c r="N16" s="2"/>
      <c r="O16" s="2"/>
    </row>
    <row r="17" spans="3:15" ht="16.5" customHeight="1" x14ac:dyDescent="0.3">
      <c r="C17" s="18" t="s">
        <v>8</v>
      </c>
      <c r="D17" s="71"/>
      <c r="E17" s="284">
        <v>4785</v>
      </c>
      <c r="F17" s="284">
        <f>SUM(720*18)</f>
        <v>12960</v>
      </c>
      <c r="G17" s="23"/>
      <c r="H17" s="23"/>
      <c r="I17" s="2"/>
      <c r="J17" s="123"/>
      <c r="K17" s="17"/>
      <c r="L17" s="2"/>
      <c r="M17" s="2"/>
      <c r="N17" s="2"/>
      <c r="O17" s="2"/>
    </row>
    <row r="18" spans="3:15" ht="16.5" customHeight="1" x14ac:dyDescent="0.3">
      <c r="C18" s="18" t="s">
        <v>9</v>
      </c>
      <c r="D18" s="71"/>
      <c r="E18" s="284">
        <v>3</v>
      </c>
      <c r="F18" s="284">
        <v>2</v>
      </c>
      <c r="G18" s="23"/>
      <c r="H18" s="23"/>
      <c r="I18" s="2"/>
      <c r="J18" s="2"/>
      <c r="K18" s="2"/>
      <c r="L18" s="2"/>
      <c r="M18" s="2"/>
      <c r="N18" s="2"/>
      <c r="O18" s="2"/>
    </row>
    <row r="19" spans="3:15" ht="16.5" customHeight="1" x14ac:dyDescent="0.3">
      <c r="C19" s="18" t="s">
        <v>10</v>
      </c>
      <c r="D19" s="71"/>
      <c r="E19" s="284"/>
      <c r="F19" s="284"/>
      <c r="G19" s="23"/>
      <c r="H19" s="23"/>
      <c r="I19" s="2"/>
      <c r="J19" s="2"/>
      <c r="K19" s="2"/>
      <c r="L19" s="2"/>
      <c r="M19" s="2"/>
      <c r="N19" s="2"/>
      <c r="O19" s="2"/>
    </row>
    <row r="20" spans="3:15" ht="16.5" customHeight="1" x14ac:dyDescent="0.3">
      <c r="C20" s="18" t="s">
        <v>11</v>
      </c>
      <c r="D20" s="71"/>
      <c r="E20" s="284"/>
      <c r="F20" s="284"/>
      <c r="G20" s="23"/>
      <c r="H20" s="23"/>
      <c r="I20" s="2"/>
      <c r="J20" s="2"/>
      <c r="K20" s="2"/>
      <c r="L20" s="2"/>
      <c r="M20" s="2"/>
      <c r="N20" s="2"/>
      <c r="O20" s="2"/>
    </row>
    <row r="21" spans="3:15" ht="16.5" customHeight="1" x14ac:dyDescent="0.3">
      <c r="C21" s="18" t="s">
        <v>12</v>
      </c>
      <c r="D21" s="71"/>
      <c r="E21" s="284">
        <v>4</v>
      </c>
      <c r="F21" s="284">
        <v>3</v>
      </c>
      <c r="G21" s="23"/>
      <c r="H21" s="23"/>
      <c r="I21" s="2"/>
      <c r="J21" s="123"/>
      <c r="K21" s="17"/>
      <c r="L21" s="2"/>
      <c r="M21" s="2"/>
      <c r="N21" s="2"/>
      <c r="O21" s="2"/>
    </row>
    <row r="22" spans="3:15" ht="16.5" customHeight="1" x14ac:dyDescent="0.3">
      <c r="C22" s="18" t="s">
        <v>13</v>
      </c>
      <c r="D22" s="71">
        <f>SUM(E22:F22)</f>
        <v>56885</v>
      </c>
      <c r="E22" s="284">
        <f>SUM((E15*1)+(E17*E18))</f>
        <v>18005</v>
      </c>
      <c r="F22" s="284">
        <f>SUM((F13*1)+(F17*F18))</f>
        <v>38880</v>
      </c>
      <c r="G22" s="23"/>
      <c r="H22" s="23"/>
      <c r="I22" s="2"/>
      <c r="J22" s="2"/>
      <c r="K22" s="2"/>
      <c r="L22" s="2"/>
      <c r="M22" s="2"/>
      <c r="N22" s="2"/>
      <c r="O22" s="2"/>
    </row>
    <row r="23" spans="3:15" ht="16.5" customHeight="1" x14ac:dyDescent="0.3">
      <c r="C23" s="18" t="s">
        <v>14</v>
      </c>
      <c r="D23" s="72">
        <f>SUM(E23:F23)</f>
        <v>33.311999999999998</v>
      </c>
      <c r="E23" s="290">
        <f>SUM(((E17*E18)*0.8)/750)</f>
        <v>15.311999999999999</v>
      </c>
      <c r="F23" s="290">
        <f>SUM((F22)/2160)</f>
        <v>18</v>
      </c>
      <c r="G23" s="23"/>
      <c r="H23" s="23"/>
      <c r="I23" s="2"/>
      <c r="J23" s="2"/>
      <c r="K23" s="2"/>
      <c r="L23" s="2"/>
      <c r="M23" s="2"/>
      <c r="N23" s="2"/>
      <c r="O23" s="2"/>
    </row>
    <row r="24" spans="3:15" ht="16.5" customHeight="1" x14ac:dyDescent="0.3">
      <c r="C24" s="18" t="s">
        <v>15</v>
      </c>
      <c r="D24" s="71"/>
      <c r="E24" s="284">
        <f>SUM(E23*0.33)</f>
        <v>5.0529599999999997</v>
      </c>
      <c r="F24" s="284">
        <v>18</v>
      </c>
      <c r="G24" s="23"/>
      <c r="H24" s="23"/>
      <c r="I24" s="2"/>
      <c r="J24" s="2"/>
      <c r="K24" s="2"/>
      <c r="L24" s="2"/>
      <c r="M24" s="2"/>
      <c r="N24" s="2"/>
      <c r="O24" s="2"/>
    </row>
    <row r="25" spans="3:15" ht="16.5" customHeight="1" x14ac:dyDescent="0.3">
      <c r="C25" s="18" t="s">
        <v>16</v>
      </c>
      <c r="D25" s="72">
        <f>SUM(E25:F25)</f>
        <v>27</v>
      </c>
      <c r="E25" s="290">
        <v>9</v>
      </c>
      <c r="F25" s="290">
        <f>F24</f>
        <v>18</v>
      </c>
      <c r="G25" s="23"/>
      <c r="H25" s="23"/>
      <c r="I25" s="2"/>
      <c r="J25" s="2"/>
      <c r="K25" s="2"/>
      <c r="L25" s="2"/>
      <c r="M25" s="2"/>
      <c r="N25" s="2"/>
      <c r="O25" s="2"/>
    </row>
    <row r="26" spans="3:15" ht="16.5" customHeight="1" x14ac:dyDescent="0.3">
      <c r="C26" s="18" t="s">
        <v>34</v>
      </c>
      <c r="D26" s="73"/>
      <c r="E26" s="284">
        <v>3080</v>
      </c>
      <c r="F26" s="284">
        <f>SUM(360*18)</f>
        <v>6480</v>
      </c>
      <c r="G26" s="23"/>
      <c r="H26" s="23"/>
      <c r="I26" s="2"/>
      <c r="J26" s="2"/>
      <c r="K26" s="2"/>
      <c r="L26" s="2"/>
      <c r="M26" s="2"/>
      <c r="N26" s="2"/>
      <c r="O26" s="2"/>
    </row>
    <row r="27" spans="3:15" ht="16.5" customHeight="1" x14ac:dyDescent="0.3">
      <c r="C27" s="18" t="s">
        <v>33</v>
      </c>
      <c r="D27" s="73"/>
      <c r="E27" s="284"/>
      <c r="F27" s="284"/>
      <c r="G27" s="23"/>
      <c r="H27" s="23"/>
      <c r="I27" s="2"/>
    </row>
    <row r="28" spans="3:15" ht="16.5" customHeight="1" x14ac:dyDescent="0.3">
      <c r="C28" s="18" t="s">
        <v>32</v>
      </c>
      <c r="D28" s="75">
        <f>SUM(E22:F22)</f>
        <v>56885</v>
      </c>
      <c r="E28" s="284"/>
      <c r="F28" s="284"/>
      <c r="G28" s="24"/>
      <c r="H28" s="24"/>
      <c r="I28" s="2"/>
    </row>
    <row r="29" spans="3:15" ht="16.5" customHeight="1" x14ac:dyDescent="0.3">
      <c r="C29" s="18" t="s">
        <v>31</v>
      </c>
      <c r="D29" s="75">
        <f>SUM(E23:F23)</f>
        <v>33.311999999999998</v>
      </c>
      <c r="E29" s="284"/>
      <c r="F29" s="284"/>
      <c r="G29" s="24"/>
      <c r="H29" s="24"/>
    </row>
    <row r="30" spans="3:15" ht="16.5" customHeight="1" x14ac:dyDescent="0.3">
      <c r="C30" s="18" t="s">
        <v>17</v>
      </c>
      <c r="D30" s="75">
        <f>SUM(E24:F24)</f>
        <v>23.052959999999999</v>
      </c>
      <c r="E30" s="284"/>
      <c r="F30" s="284"/>
      <c r="G30" s="24"/>
      <c r="H30" s="24"/>
    </row>
    <row r="31" spans="3:15" ht="16.5" customHeight="1" x14ac:dyDescent="0.3">
      <c r="C31" s="18" t="s">
        <v>18</v>
      </c>
      <c r="D31" s="75">
        <f>SUM(E14:F14)</f>
        <v>1630</v>
      </c>
      <c r="E31" s="284"/>
      <c r="F31" s="284"/>
      <c r="G31" s="24"/>
      <c r="H31" s="24"/>
    </row>
    <row r="32" spans="3:15" ht="16.5" customHeight="1" x14ac:dyDescent="0.3">
      <c r="C32" s="18" t="s">
        <v>19</v>
      </c>
      <c r="D32" s="75">
        <f>SUM((E17*E18)+(E19*E20)+(F17*F18))</f>
        <v>40275</v>
      </c>
      <c r="E32" s="284"/>
      <c r="F32" s="284"/>
      <c r="G32" s="24"/>
      <c r="H32" s="24"/>
    </row>
    <row r="33" spans="3:8" ht="16.5" customHeight="1" x14ac:dyDescent="0.3">
      <c r="C33" s="19" t="s">
        <v>20</v>
      </c>
      <c r="D33" s="76" t="e">
        <f>SUM(E26+F26+#REF!)</f>
        <v>#REF!</v>
      </c>
      <c r="E33" s="282"/>
      <c r="F33" s="282"/>
      <c r="G33" s="26"/>
      <c r="H33" s="26"/>
    </row>
    <row r="34" spans="3:8" ht="16.5" customHeight="1" x14ac:dyDescent="0.3">
      <c r="C34" s="21" t="s">
        <v>26</v>
      </c>
      <c r="D34" s="77">
        <f>SUM(D22/D9)</f>
        <v>1.978264649626152</v>
      </c>
      <c r="E34" s="287">
        <f>SUM(E22/E9)</f>
        <v>2.3628608923884515</v>
      </c>
      <c r="F34" s="287">
        <f>SUM(F22/F9)</f>
        <v>1.8396025550035486</v>
      </c>
      <c r="G34" s="28"/>
      <c r="H34" s="28"/>
    </row>
    <row r="35" spans="3:8" ht="16.5" customHeight="1" x14ac:dyDescent="0.3">
      <c r="C35" s="18" t="s">
        <v>30</v>
      </c>
      <c r="D35" s="282">
        <v>10155</v>
      </c>
      <c r="E35" s="282">
        <v>900</v>
      </c>
      <c r="F35" s="283">
        <v>9255</v>
      </c>
      <c r="G35" s="26"/>
      <c r="H35" s="26"/>
    </row>
    <row r="36" spans="3:8" ht="16.5" customHeight="1" x14ac:dyDescent="0.3">
      <c r="C36" s="18" t="s">
        <v>29</v>
      </c>
      <c r="D36" s="71">
        <v>7250</v>
      </c>
      <c r="E36" s="282">
        <v>885</v>
      </c>
      <c r="F36" s="283">
        <v>6365</v>
      </c>
      <c r="G36" s="26"/>
      <c r="H36" s="26"/>
    </row>
    <row r="37" spans="3:8" ht="16.5" customHeight="1" x14ac:dyDescent="0.3">
      <c r="C37" s="18" t="s">
        <v>21</v>
      </c>
      <c r="D37" s="282">
        <v>11775</v>
      </c>
      <c r="E37" s="282">
        <v>2460</v>
      </c>
      <c r="F37" s="283">
        <f>SUM(D37-E37)</f>
        <v>9315</v>
      </c>
      <c r="G37" s="4"/>
      <c r="H37" s="26"/>
    </row>
    <row r="38" spans="3:8" ht="16.5" customHeight="1" x14ac:dyDescent="0.35">
      <c r="C38" s="22"/>
      <c r="D38" s="74"/>
      <c r="E38" s="288"/>
      <c r="F38" s="288"/>
      <c r="G38" s="3"/>
      <c r="H38" s="3"/>
    </row>
    <row r="39" spans="3:8" ht="16.5" customHeight="1" x14ac:dyDescent="0.3">
      <c r="C39" s="20" t="s">
        <v>27</v>
      </c>
      <c r="D39" s="78">
        <f>SUM(D9/D23)</f>
        <v>863.20244956772342</v>
      </c>
      <c r="E39" s="289">
        <f>SUM(E9/E23)</f>
        <v>497.64890282131665</v>
      </c>
      <c r="F39" s="289">
        <f>SUM(F9/F23)</f>
        <v>1174.1666666666667</v>
      </c>
      <c r="G39" s="25"/>
      <c r="H39" s="27"/>
    </row>
  </sheetData>
  <mergeCells count="1">
    <mergeCell ref="B1:H1"/>
  </mergeCells>
  <pageMargins left="0.7" right="0.7" top="0.75" bottom="0.75" header="0.3" footer="0.3"/>
  <pageSetup scale="60" orientation="landscape" r:id="rId1"/>
  <headerFooter scaleWithDoc="0">
    <oddHeader>&amp;R&amp;G</oddHeader>
    <oddFooter xml:space="preserve">&amp;L&amp;G&amp;C&amp;9DRAFT - &amp;D&amp;R&amp;9Page &amp;P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Sources Uses</vt:lpstr>
      <vt:lpstr>Site Base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Haymaker</dc:creator>
  <cp:lastModifiedBy>Terri Haymaker</cp:lastModifiedBy>
  <cp:lastPrinted>2022-09-09T11:37:28Z</cp:lastPrinted>
  <dcterms:created xsi:type="dcterms:W3CDTF">2022-01-20T03:18:49Z</dcterms:created>
  <dcterms:modified xsi:type="dcterms:W3CDTF">2022-09-09T11:38:52Z</dcterms:modified>
</cp:coreProperties>
</file>